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xr:revisionPtr revIDLastSave="0" documentId="13_ncr:1_{35010511-9045-4D35-A891-CCF71992330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18" l="1"/>
  <c r="CH19" i="1"/>
  <c r="I18" i="19" l="1"/>
  <c r="I17" i="19"/>
  <c r="I16" i="19"/>
  <c r="I15" i="19"/>
  <c r="I13" i="19"/>
  <c r="I12" i="19"/>
  <c r="I25" i="19" s="1"/>
  <c r="I10" i="19"/>
  <c r="I9" i="19"/>
  <c r="I8" i="19"/>
  <c r="I7" i="19"/>
  <c r="I6" i="19"/>
  <c r="I5" i="19"/>
  <c r="I4" i="19"/>
  <c r="AD18" i="18"/>
  <c r="AD17" i="18"/>
  <c r="AD16" i="18"/>
  <c r="AD15" i="18"/>
  <c r="AD13" i="18"/>
  <c r="AD12" i="18"/>
  <c r="AD25" i="18" s="1"/>
  <c r="AD10" i="18"/>
  <c r="AD9" i="18"/>
  <c r="AD8" i="18"/>
  <c r="AD7" i="18"/>
  <c r="AD6" i="18"/>
  <c r="AD5" i="18"/>
  <c r="AD4" i="18"/>
  <c r="CH27" i="1"/>
  <c r="CH25" i="1"/>
  <c r="CH14" i="1"/>
  <c r="CH11" i="1" s="1"/>
  <c r="CH3" i="1"/>
  <c r="CH2" i="1" s="1"/>
  <c r="I2" i="19" s="1"/>
  <c r="CG19" i="1"/>
  <c r="I14" i="19" l="1"/>
  <c r="AD14" i="18"/>
  <c r="I11" i="19"/>
  <c r="AD11" i="18"/>
  <c r="CH24" i="1"/>
  <c r="AD2" i="18"/>
  <c r="AD3" i="18"/>
  <c r="I3" i="19"/>
  <c r="I24" i="19" s="1"/>
  <c r="CG27" i="1"/>
  <c r="CG25" i="1"/>
  <c r="CG14" i="1"/>
  <c r="CG11" i="1" s="1"/>
  <c r="CG3" i="1"/>
  <c r="CG2" i="1" s="1"/>
  <c r="CF19" i="1"/>
  <c r="CF25" i="1"/>
  <c r="CF14" i="1"/>
  <c r="CF11" i="1" s="1"/>
  <c r="CF3" i="1"/>
  <c r="CF2" i="1" s="1"/>
  <c r="AC18" i="18"/>
  <c r="AC17" i="18"/>
  <c r="AC16" i="18"/>
  <c r="AC15" i="18"/>
  <c r="AC13" i="18"/>
  <c r="AC12" i="18"/>
  <c r="AC10" i="18"/>
  <c r="AC9" i="18"/>
  <c r="AC8" i="18"/>
  <c r="AC7" i="18"/>
  <c r="AC6" i="18"/>
  <c r="AC5" i="18"/>
  <c r="AC4" i="18"/>
  <c r="AB4" i="18"/>
  <c r="AB5" i="18"/>
  <c r="AB6" i="18"/>
  <c r="AB7" i="18"/>
  <c r="AB8" i="18"/>
  <c r="AB9" i="18"/>
  <c r="AB10" i="18"/>
  <c r="CE19" i="1"/>
  <c r="CG24" i="1" l="1"/>
  <c r="CE25" i="1"/>
  <c r="CE14" i="1"/>
  <c r="CE11" i="1" s="1"/>
  <c r="CE3" i="1"/>
  <c r="CE2" i="1" s="1"/>
  <c r="CD19" i="1"/>
  <c r="CD25" i="1" l="1"/>
  <c r="CD14" i="1"/>
  <c r="CD11" i="1" s="1"/>
  <c r="CD3" i="1"/>
  <c r="CD2" i="1" s="1"/>
  <c r="CC19" i="1"/>
  <c r="CC25" i="1" l="1"/>
  <c r="CC14" i="1"/>
  <c r="CC3" i="1"/>
  <c r="AB18" i="18"/>
  <c r="AB17" i="18"/>
  <c r="AB16" i="18"/>
  <c r="AB15" i="18"/>
  <c r="AB13" i="18"/>
  <c r="AB12" i="18"/>
  <c r="CB19" i="1"/>
  <c r="CC2" i="1" l="1"/>
  <c r="AC2" i="18" s="1"/>
  <c r="AC3" i="18"/>
  <c r="CC11" i="1"/>
  <c r="AC11" i="18" s="1"/>
  <c r="AC14" i="18"/>
  <c r="CB25" i="1"/>
  <c r="CB14" i="1"/>
  <c r="CB11" i="1" s="1"/>
  <c r="CB3" i="1"/>
  <c r="CB2" i="1" s="1"/>
  <c r="CA19" i="1"/>
  <c r="CA25" i="1" l="1"/>
  <c r="CA14" i="1"/>
  <c r="CA11" i="1" s="1"/>
  <c r="CA3" i="1"/>
  <c r="BX25" i="1"/>
  <c r="BY25" i="1"/>
  <c r="BZ25" i="1"/>
  <c r="BZ19" i="1"/>
  <c r="CA2" i="1" l="1"/>
  <c r="BZ14" i="1"/>
  <c r="BZ3" i="1"/>
  <c r="BY19" i="1"/>
  <c r="AA18" i="18"/>
  <c r="AA17" i="18"/>
  <c r="AA16" i="18"/>
  <c r="AA15" i="18"/>
  <c r="AA13" i="18"/>
  <c r="AA12" i="18"/>
  <c r="AA10" i="18"/>
  <c r="AA9" i="18"/>
  <c r="AA8" i="18"/>
  <c r="AA7" i="18"/>
  <c r="AA6" i="18"/>
  <c r="AA5" i="18"/>
  <c r="AA4" i="18"/>
  <c r="BZ2" i="1" l="1"/>
  <c r="AB2" i="18" s="1"/>
  <c r="AB3" i="18"/>
  <c r="BZ11" i="1"/>
  <c r="AB11" i="18" s="1"/>
  <c r="AB14" i="18"/>
  <c r="BY14" i="1"/>
  <c r="BY11" i="1" s="1"/>
  <c r="BY3" i="1"/>
  <c r="BY2" i="1" s="1"/>
  <c r="BX19" i="1"/>
  <c r="BX14" i="1" l="1"/>
  <c r="BX11" i="1" s="1"/>
  <c r="BX3" i="1"/>
  <c r="BX2" i="1" s="1"/>
  <c r="BW19" i="1"/>
  <c r="BW25" i="1"/>
  <c r="BW14" i="1" l="1"/>
  <c r="BW3" i="1"/>
  <c r="BV19" i="1"/>
  <c r="BW11" i="1" l="1"/>
  <c r="AA11" i="18" s="1"/>
  <c r="AA14" i="18"/>
  <c r="BW2" i="1"/>
  <c r="AA2" i="18" s="1"/>
  <c r="AA3" i="18"/>
  <c r="H8" i="19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CF27" i="1" s="1"/>
  <c r="BT25" i="1"/>
  <c r="BT14" i="1" l="1"/>
  <c r="BT3" i="1"/>
  <c r="CF24" i="1" s="1"/>
  <c r="BT2" i="1" l="1"/>
  <c r="Z2" i="18" s="1"/>
  <c r="Z3" i="18"/>
  <c r="BT11" i="1"/>
  <c r="Z11" i="18" s="1"/>
  <c r="Z14" i="18"/>
  <c r="BS19" i="1"/>
  <c r="CE27" i="1" s="1"/>
  <c r="BS25" i="1"/>
  <c r="Y4" i="18" l="1"/>
  <c r="Y5" i="18"/>
  <c r="Y6" i="18"/>
  <c r="Y7" i="18"/>
  <c r="Y8" i="18"/>
  <c r="Y9" i="18"/>
  <c r="Y10" i="18"/>
  <c r="Y12" i="18"/>
  <c r="AC25" i="18" s="1"/>
  <c r="Y13" i="18"/>
  <c r="Y15" i="18"/>
  <c r="Y16" i="18"/>
  <c r="Y17" i="18"/>
  <c r="Y18" i="18"/>
  <c r="BS14" i="1"/>
  <c r="BS11" i="1" s="1"/>
  <c r="BS3" i="1"/>
  <c r="CE24" i="1" s="1"/>
  <c r="BS2" i="1" l="1"/>
  <c r="BR19" i="1"/>
  <c r="CD27" i="1" s="1"/>
  <c r="BR25" i="1"/>
  <c r="BQ3" i="1"/>
  <c r="CC24" i="1" s="1"/>
  <c r="BR14" i="1" l="1"/>
  <c r="BR11" i="1" s="1"/>
  <c r="BR3" i="1"/>
  <c r="CD24" i="1" s="1"/>
  <c r="BR2" i="1" l="1"/>
  <c r="Y3" i="18"/>
  <c r="AC24" i="18" s="1"/>
  <c r="BQ19" i="1"/>
  <c r="CC27" i="1" s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AB25" i="18" s="1"/>
  <c r="X8" i="18"/>
  <c r="X7" i="18"/>
  <c r="X6" i="18"/>
  <c r="X5" i="18"/>
  <c r="BP19" i="1"/>
  <c r="CB27" i="1" s="1"/>
  <c r="BP25" i="1"/>
  <c r="BP14" i="1"/>
  <c r="BP11" i="1" s="1"/>
  <c r="BP3" i="1"/>
  <c r="BP2" i="1" l="1"/>
  <c r="CB24" i="1"/>
  <c r="BO25" i="1"/>
  <c r="BN25" i="1"/>
  <c r="BO19" i="1"/>
  <c r="CA27" i="1" s="1"/>
  <c r="BO14" i="1" l="1"/>
  <c r="BO11" i="1" s="1"/>
  <c r="BO3" i="1"/>
  <c r="BO2" i="1" l="1"/>
  <c r="CA24" i="1"/>
  <c r="BN19" i="1"/>
  <c r="BZ27" i="1" s="1"/>
  <c r="BM14" i="1" l="1"/>
  <c r="BM11" i="1" s="1"/>
  <c r="BL14" i="1"/>
  <c r="BL11" i="1" s="1"/>
  <c r="BN14" i="1"/>
  <c r="BN3" i="1"/>
  <c r="X3" i="18" l="1"/>
  <c r="AB24" i="18" s="1"/>
  <c r="BZ24" i="1"/>
  <c r="BN11" i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AA25" i="18" s="1"/>
  <c r="W13" i="18"/>
  <c r="W15" i="18"/>
  <c r="W16" i="18"/>
  <c r="W17" i="18"/>
  <c r="W18" i="18"/>
  <c r="BM19" i="1"/>
  <c r="BY27" i="1" s="1"/>
  <c r="BM25" i="1" l="1"/>
  <c r="BM3" i="1"/>
  <c r="BY24" i="1" s="1"/>
  <c r="BL3" i="1"/>
  <c r="BL2" i="1" l="1"/>
  <c r="BX24" i="1"/>
  <c r="BM2" i="1"/>
  <c r="BL25" i="1"/>
  <c r="BL19" i="1"/>
  <c r="BX27" i="1" s="1"/>
  <c r="BJ26" i="1" l="1"/>
  <c r="BK19" i="1"/>
  <c r="BW27" i="1" s="1"/>
  <c r="BK14" i="1" l="1"/>
  <c r="H14" i="19" s="1"/>
  <c r="BK3" i="1"/>
  <c r="H3" i="19" l="1"/>
  <c r="BW24" i="1"/>
  <c r="BK2" i="1"/>
  <c r="W3" i="18"/>
  <c r="AA24" i="18" s="1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<sst xmlns="http://schemas.openxmlformats.org/spreadsheetml/2006/main" count="111" uniqueCount="57">
  <si>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</si>
  <si>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</si>
  <si>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</si>
  <si>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</si>
  <si>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</si>
  <si>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</si>
  <si>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</si>
  <si>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</si>
  <si>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</si>
  <si>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</si>
  <si>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</si>
  <si>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</si>
  <si>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</si>
  <si>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</si>
  <si>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</si>
  <si>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</si>
  <si>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</si>
  <si>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</si>
  <si>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</si>
  <si>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</si>
  <si>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</si>
  <si>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</si>
  <si>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</si>
  <si>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</si>
  <si>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</si>
  <si>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</si>
  <si>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</si>
  <si>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</si>
  <si>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</si>
  <si>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</si>
  <si>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</si>
  <si>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</si>
  <si>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</si>
  <si>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</si>
  <si>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</si>
  <si>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</si>
  <si>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</si>
  <si>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</si>
  <si>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</si>
  <si>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</si>
  <si>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</si>
  <si>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</si>
  <si>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</si>
  <si>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</si>
  <si>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</si>
  <si>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</si>
  <si>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</si>
  <si>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</si>
  <si>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</si>
  <si>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</si>
  <si>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</si>
  <si>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</si>
  <si>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</si>
  <si>
    <t>2022-Q2</t>
  </si>
  <si>
    <t>2022-Q3</t>
  </si>
  <si>
    <t>2022-Q4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</si>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</sst>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10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75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  <xf numFmtId="3" fontId="97" fillId="0" borderId="0" xfId="0" applyNumberFormat="1" applyFont="1" applyFill="1" applyAlignment="1">
      <alignment horizontal="center"/>
    </xf>
    <xf numFmtId="3" fontId="98" fillId="58" borderId="0" xfId="0" applyNumberFormat="1" applyFont="1" applyFill="1" applyAlignment="1">
      <alignment horizontal="center"/>
    </xf>
    <xf numFmtId="3" fontId="93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Border="1" applyAlignment="1">
      <alignment horizontal="center" vertical="center"/>
    </xf>
    <xf numFmtId="0" fontId="98" fillId="58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3" fontId="97" fillId="0" borderId="0" xfId="0" applyNumberFormat="1" applyFont="1" applyFill="1" applyAlignment="1">
      <alignment horizontal="center" vertical="center"/>
    </xf>
    <xf numFmtId="3" fontId="94" fillId="58" borderId="0" xfId="0" applyNumberFormat="1" applyFont="1" applyFill="1" applyAlignment="1">
      <alignment horizontal="center" vertical="center"/>
    </xf>
    <xf numFmtId="3" fontId="98" fillId="58" borderId="0" xfId="0" applyNumberFormat="1" applyFont="1" applyFill="1" applyAlignment="1">
      <alignment horizontal="center" vertical="center"/>
    </xf>
    <xf numFmtId="3" fontId="99" fillId="58" borderId="0" xfId="0" applyNumberFormat="1" applyFont="1" applyFill="1" applyAlignment="1">
      <alignment horizontal="center"/>
    </xf>
    <xf numFmtId="3" fontId="100" fillId="58" borderId="0" xfId="0" applyNumberFormat="1" applyFont="1" applyFill="1" applyAlignment="1">
      <alignment horizontal="center"/>
    </xf>
    <xf numFmtId="9" fontId="98" fillId="0" borderId="0" xfId="1" applyFont="1" applyFill="1" applyAlignment="1">
      <alignment horizontal="center"/>
    </xf>
    <xf numFmtId="0" fontId="93" fillId="0" borderId="0" xfId="0" applyFont="1" applyFill="1"/>
    <xf numFmtId="3" fontId="93" fillId="58" borderId="0" xfId="0" applyNumberFormat="1" applyFont="1" applyFill="1" applyAlignment="1">
      <alignment horizontal="center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H62"/>
  <sheetViews>
    <sheetView tabSelected="1" zoomScale="150" zoomScaleNormal="150" workbookViewId="0">
      <pane xSplit="2" topLeftCell="BW1" activePane="topRight" state="frozen"/>
      <selection pane="topRight" activeCell="CI11" sqref="CI11:CJ11"/>
    </sheetView>
  </sheetViews>
  <sheetFormatPr defaultColWidth="9.140625" defaultRowHeight="1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1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8" width="11.85546875" style="4" customWidth="1"/>
    <col min="79" max="79" width="10.42578125" style="4" customWidth="1"/>
    <col min="80" max="80" width="12.140625" style="4" customWidth="1"/>
    <col min="81" max="81" width="9.7109375" style="5" bestFit="1" customWidth="1"/>
    <col min="82" max="84" width="9.7109375" style="4" bestFit="1" customWidth="1"/>
    <col min="85" max="85" width="10.7109375" style="4" bestFit="1" customWidth="1"/>
    <col min="86" max="86" width="10.140625" style="4" bestFit="1" customWidth="1"/>
    <col min="87" max="16384" width="9.140625" style="4"/>
  </cols>
  <sheetData>
    <row r="1" spans="1:86" s="7" customFormat="1" ht="19.5" thickBot="1">
      <c r="A1" s="6"/>
      <c r="B1" s="33" t="s">
        <v>28</v>
      </c>
      <c r="C1" s="34">
        <v>42370</v>
      </c>
      <c r="D1" s="34">
        <v>42401</v>
      </c>
      <c r="E1" s="34">
        <v>42430</v>
      </c>
      <c r="F1" s="34">
        <v>42461</v>
      </c>
      <c r="G1" s="34">
        <v>42491</v>
      </c>
      <c r="H1" s="34">
        <v>42522</v>
      </c>
      <c r="I1" s="34">
        <v>42552</v>
      </c>
      <c r="J1" s="34">
        <v>42583</v>
      </c>
      <c r="K1" s="34">
        <v>42614</v>
      </c>
      <c r="L1" s="34">
        <v>42644</v>
      </c>
      <c r="M1" s="34">
        <v>42675</v>
      </c>
      <c r="N1" s="34">
        <v>42705</v>
      </c>
      <c r="O1" s="34">
        <v>42736</v>
      </c>
      <c r="P1" s="34">
        <v>42767</v>
      </c>
      <c r="Q1" s="34">
        <v>42795</v>
      </c>
      <c r="R1" s="34">
        <v>42826</v>
      </c>
      <c r="S1" s="34">
        <v>42856</v>
      </c>
      <c r="T1" s="34">
        <v>42887</v>
      </c>
      <c r="U1" s="34">
        <v>42917</v>
      </c>
      <c r="V1" s="34">
        <v>42948</v>
      </c>
      <c r="W1" s="34">
        <v>42979</v>
      </c>
      <c r="X1" s="34">
        <v>43009</v>
      </c>
      <c r="Y1" s="34">
        <v>43040</v>
      </c>
      <c r="Z1" s="34">
        <v>43070</v>
      </c>
      <c r="AA1" s="34">
        <v>43101</v>
      </c>
      <c r="AB1" s="34">
        <v>43132</v>
      </c>
      <c r="AC1" s="34">
        <v>43160</v>
      </c>
      <c r="AD1" s="34">
        <v>43191</v>
      </c>
      <c r="AE1" s="34">
        <v>43221</v>
      </c>
      <c r="AF1" s="34">
        <v>43252</v>
      </c>
      <c r="AG1" s="34">
        <v>43282</v>
      </c>
      <c r="AH1" s="34">
        <v>43313</v>
      </c>
      <c r="AI1" s="34">
        <v>43344</v>
      </c>
      <c r="AJ1" s="34">
        <v>43374</v>
      </c>
      <c r="AK1" s="34">
        <v>43405</v>
      </c>
      <c r="AL1" s="34">
        <v>43435</v>
      </c>
      <c r="AM1" s="34">
        <v>43466</v>
      </c>
      <c r="AN1" s="34">
        <v>43497</v>
      </c>
      <c r="AO1" s="34">
        <v>43525</v>
      </c>
      <c r="AP1" s="34">
        <v>43556</v>
      </c>
      <c r="AQ1" s="34">
        <v>43586</v>
      </c>
      <c r="AR1" s="34">
        <v>43617</v>
      </c>
      <c r="AS1" s="34">
        <v>43647</v>
      </c>
      <c r="AT1" s="34">
        <v>43678</v>
      </c>
      <c r="AU1" s="34">
        <v>43709</v>
      </c>
      <c r="AV1" s="34">
        <v>43739</v>
      </c>
      <c r="AW1" s="34">
        <v>43770</v>
      </c>
      <c r="AX1" s="34">
        <v>43800</v>
      </c>
      <c r="AY1" s="34">
        <v>43831</v>
      </c>
      <c r="AZ1" s="34">
        <v>43862</v>
      </c>
      <c r="BA1" s="34">
        <v>43891</v>
      </c>
      <c r="BB1" s="34">
        <v>43922</v>
      </c>
      <c r="BC1" s="34">
        <v>43952</v>
      </c>
      <c r="BD1" s="34">
        <v>43983</v>
      </c>
      <c r="BE1" s="34">
        <v>44013</v>
      </c>
      <c r="BF1" s="34">
        <v>44044</v>
      </c>
      <c r="BG1" s="34">
        <v>44075</v>
      </c>
      <c r="BH1" s="34">
        <v>44105</v>
      </c>
      <c r="BI1" s="34">
        <v>44136</v>
      </c>
      <c r="BJ1" s="34">
        <v>44166</v>
      </c>
      <c r="BK1" s="34">
        <v>44197</v>
      </c>
      <c r="BL1" s="34">
        <v>44228</v>
      </c>
      <c r="BM1" s="34">
        <v>44256</v>
      </c>
      <c r="BN1" s="34">
        <v>44287</v>
      </c>
      <c r="BO1" s="35">
        <v>44317</v>
      </c>
      <c r="BP1" s="35">
        <v>44348</v>
      </c>
      <c r="BQ1" s="35">
        <v>44378</v>
      </c>
      <c r="BR1" s="35">
        <v>44409</v>
      </c>
      <c r="BS1" s="35">
        <v>44440</v>
      </c>
      <c r="BT1" s="35">
        <v>44470</v>
      </c>
      <c r="BU1" s="34">
        <v>44501</v>
      </c>
      <c r="BV1" s="34">
        <v>44531</v>
      </c>
      <c r="BW1" s="34">
        <v>44562</v>
      </c>
      <c r="BX1" s="34">
        <v>44593</v>
      </c>
      <c r="BY1" s="34">
        <v>44621</v>
      </c>
      <c r="BZ1" s="34">
        <v>44652</v>
      </c>
      <c r="CA1" s="34">
        <v>44682</v>
      </c>
      <c r="CB1" s="34">
        <v>44713</v>
      </c>
      <c r="CC1" s="34">
        <v>44743</v>
      </c>
      <c r="CD1" s="34">
        <v>44774</v>
      </c>
      <c r="CE1" s="34">
        <v>44805</v>
      </c>
      <c r="CF1" s="34">
        <v>44835</v>
      </c>
      <c r="CG1" s="34">
        <v>44866</v>
      </c>
      <c r="CH1" s="34">
        <v>44896</v>
      </c>
    </row>
    <row r="2" spans="1:86" ht="20.25" thickTop="1">
      <c r="B2" s="36" t="s">
        <v>15</v>
      </c>
      <c r="C2" s="37">
        <f t="shared" ref="C2:AH2" si="0">C3+C9</f>
        <v>1293165.4454400002</v>
      </c>
      <c r="D2" s="37">
        <f t="shared" si="0"/>
        <v>1456898.01945</v>
      </c>
      <c r="E2" s="37">
        <f t="shared" si="0"/>
        <v>1508794.4652</v>
      </c>
      <c r="F2" s="37">
        <f t="shared" si="0"/>
        <v>1040320.14255</v>
      </c>
      <c r="G2" s="37">
        <f t="shared" si="0"/>
        <v>664564.11687999999</v>
      </c>
      <c r="H2" s="37">
        <f t="shared" si="0"/>
        <v>2440808.3724300005</v>
      </c>
      <c r="I2" s="37">
        <f t="shared" si="0"/>
        <v>4140272.6677899999</v>
      </c>
      <c r="J2" s="37">
        <f t="shared" si="0"/>
        <v>4768738.5167599991</v>
      </c>
      <c r="K2" s="37">
        <f t="shared" si="0"/>
        <v>4749917.5247599995</v>
      </c>
      <c r="L2" s="37">
        <f t="shared" si="0"/>
        <v>1123274.85042</v>
      </c>
      <c r="M2" s="37">
        <f t="shared" si="0"/>
        <v>630115.04423999996</v>
      </c>
      <c r="N2" s="37">
        <f t="shared" si="0"/>
        <v>651521.11881000001</v>
      </c>
      <c r="O2" s="37">
        <f t="shared" si="0"/>
        <v>746088.31384000008</v>
      </c>
      <c r="P2" s="37">
        <f t="shared" si="0"/>
        <v>689442.06407000008</v>
      </c>
      <c r="Q2" s="37">
        <f t="shared" si="0"/>
        <v>607778.40012999997</v>
      </c>
      <c r="R2" s="37">
        <f t="shared" si="0"/>
        <v>455622.84400000004</v>
      </c>
      <c r="S2" s="37">
        <f t="shared" si="0"/>
        <v>897696.48791999999</v>
      </c>
      <c r="T2" s="37">
        <f t="shared" si="0"/>
        <v>741034.46050000004</v>
      </c>
      <c r="U2" s="37">
        <f t="shared" si="0"/>
        <v>1228372.06057</v>
      </c>
      <c r="V2" s="37">
        <f t="shared" si="0"/>
        <v>2498793.0474399999</v>
      </c>
      <c r="W2" s="37">
        <f t="shared" si="0"/>
        <v>4738903.6387700001</v>
      </c>
      <c r="X2" s="37">
        <f t="shared" si="0"/>
        <v>4115839.8280500001</v>
      </c>
      <c r="Y2" s="37">
        <f t="shared" si="0"/>
        <v>742789.74271999998</v>
      </c>
      <c r="Z2" s="37">
        <f t="shared" si="0"/>
        <v>753949.26636000001</v>
      </c>
      <c r="AA2" s="37">
        <f t="shared" si="0"/>
        <v>920029.03499999992</v>
      </c>
      <c r="AB2" s="37">
        <f t="shared" si="0"/>
        <v>843773.87410999998</v>
      </c>
      <c r="AC2" s="37">
        <f t="shared" si="0"/>
        <v>1174956.1929600001</v>
      </c>
      <c r="AD2" s="37">
        <f t="shared" si="0"/>
        <v>399568.69311700005</v>
      </c>
      <c r="AE2" s="37">
        <f t="shared" si="0"/>
        <v>273451.85227999999</v>
      </c>
      <c r="AF2" s="37">
        <f t="shared" si="0"/>
        <v>677050.31893600011</v>
      </c>
      <c r="AG2" s="37">
        <f t="shared" si="0"/>
        <v>3143542.5976</v>
      </c>
      <c r="AH2" s="37">
        <f t="shared" si="0"/>
        <v>3979458.4487299998</v>
      </c>
      <c r="AI2" s="37">
        <f t="shared" ref="AI2:CH2" si="1">AI3+AI9</f>
        <v>4407186.3826200003</v>
      </c>
      <c r="AJ2" s="37">
        <f t="shared" si="1"/>
        <v>2390306.3151400001</v>
      </c>
      <c r="AK2" s="37">
        <f t="shared" si="1"/>
        <v>1092759.9355599999</v>
      </c>
      <c r="AL2" s="37">
        <f t="shared" si="1"/>
        <v>1093463.06715</v>
      </c>
      <c r="AM2" s="37">
        <f t="shared" si="1"/>
        <v>1001067.90318</v>
      </c>
      <c r="AN2" s="37">
        <f t="shared" si="1"/>
        <v>1370217.0974600001</v>
      </c>
      <c r="AO2" s="37">
        <f t="shared" si="1"/>
        <v>774831.83611999988</v>
      </c>
      <c r="AP2" s="37">
        <f t="shared" si="1"/>
        <v>357056.55415000004</v>
      </c>
      <c r="AQ2" s="37">
        <f t="shared" si="1"/>
        <v>3005666.9213399999</v>
      </c>
      <c r="AR2" s="37">
        <f t="shared" si="1"/>
        <v>3011974.0347499996</v>
      </c>
      <c r="AS2" s="37">
        <f t="shared" si="1"/>
        <v>4298818.5621600002</v>
      </c>
      <c r="AT2" s="37">
        <f t="shared" si="1"/>
        <v>3512112.9925200003</v>
      </c>
      <c r="AU2" s="37">
        <f t="shared" si="1"/>
        <v>3424373.5165000004</v>
      </c>
      <c r="AV2" s="37">
        <f t="shared" si="1"/>
        <v>1627843.1513399999</v>
      </c>
      <c r="AW2" s="37">
        <f t="shared" si="1"/>
        <v>756845.56556000002</v>
      </c>
      <c r="AX2" s="37">
        <f t="shared" si="1"/>
        <v>847723.35027000005</v>
      </c>
      <c r="AY2" s="37">
        <f t="shared" si="1"/>
        <v>1456947.571</v>
      </c>
      <c r="AZ2" s="37">
        <f t="shared" si="1"/>
        <v>1358002.6709999999</v>
      </c>
      <c r="BA2" s="37">
        <f t="shared" si="1"/>
        <v>1462187.12</v>
      </c>
      <c r="BB2" s="37">
        <f t="shared" si="1"/>
        <v>1268969.7589999998</v>
      </c>
      <c r="BC2" s="37">
        <f t="shared" si="1"/>
        <v>570911.46600000001</v>
      </c>
      <c r="BD2" s="37">
        <f t="shared" si="1"/>
        <v>864361.78399999999</v>
      </c>
      <c r="BE2" s="37">
        <f t="shared" si="1"/>
        <v>755769.43200000003</v>
      </c>
      <c r="BF2" s="37">
        <f t="shared" si="1"/>
        <v>236383.87099999998</v>
      </c>
      <c r="BG2" s="38">
        <f t="shared" si="1"/>
        <v>915181.51600000006</v>
      </c>
      <c r="BH2" s="38">
        <f t="shared" si="1"/>
        <v>1246338.314</v>
      </c>
      <c r="BI2" s="38">
        <f t="shared" si="1"/>
        <v>1279159.1189999999</v>
      </c>
      <c r="BJ2" s="38">
        <f t="shared" si="1"/>
        <v>1563709.077</v>
      </c>
      <c r="BK2" s="38">
        <f t="shared" si="1"/>
        <v>1640281.584</v>
      </c>
      <c r="BL2" s="38">
        <f t="shared" si="1"/>
        <v>1565574.4689999998</v>
      </c>
      <c r="BM2" s="38">
        <f t="shared" si="1"/>
        <v>1401411.2329999998</v>
      </c>
      <c r="BN2" s="38">
        <f t="shared" si="1"/>
        <v>1304947.2520000003</v>
      </c>
      <c r="BO2" s="38">
        <f t="shared" si="1"/>
        <v>427123.19</v>
      </c>
      <c r="BP2" s="38">
        <f t="shared" si="1"/>
        <v>477910.109</v>
      </c>
      <c r="BQ2" s="38">
        <f t="shared" si="1"/>
        <v>321991.36900000001</v>
      </c>
      <c r="BR2" s="38">
        <f t="shared" si="1"/>
        <v>608139.397</v>
      </c>
      <c r="BS2" s="38">
        <f t="shared" si="1"/>
        <v>627177.59299999999</v>
      </c>
      <c r="BT2" s="38">
        <f t="shared" si="1"/>
        <v>670588.57900000003</v>
      </c>
      <c r="BU2" s="38">
        <f t="shared" si="1"/>
        <v>1152691.4710000001</v>
      </c>
      <c r="BV2" s="38">
        <f t="shared" si="1"/>
        <v>1173364.7689999999</v>
      </c>
      <c r="BW2" s="38">
        <f t="shared" si="1"/>
        <v>1691356.767</v>
      </c>
      <c r="BX2" s="63">
        <f t="shared" si="1"/>
        <v>1267412.1969999999</v>
      </c>
      <c r="BY2" s="63">
        <f t="shared" si="1"/>
        <v>739813.24900000007</v>
      </c>
      <c r="BZ2" s="63">
        <f t="shared" si="1"/>
        <v>714008.72</v>
      </c>
      <c r="CA2" s="63">
        <f t="shared" si="1"/>
        <v>586632.26199999999</v>
      </c>
      <c r="CB2" s="63">
        <f t="shared" si="1"/>
        <v>966955.99400000006</v>
      </c>
      <c r="CC2" s="63">
        <f t="shared" si="1"/>
        <v>850645.27800000005</v>
      </c>
      <c r="CD2" s="63">
        <f t="shared" si="1"/>
        <v>857416.25</v>
      </c>
      <c r="CE2" s="63">
        <f t="shared" si="1"/>
        <v>808626.755</v>
      </c>
      <c r="CF2" s="63">
        <f t="shared" si="1"/>
        <v>678882.97600000002</v>
      </c>
      <c r="CG2" s="63">
        <f t="shared" si="1"/>
        <v>968291.53600000008</v>
      </c>
      <c r="CH2" s="63">
        <f t="shared" si="1"/>
        <v>1384170.9169999999</v>
      </c>
    </row>
    <row r="3" spans="1:86" s="11" customFormat="1" ht="18.75">
      <c r="B3" s="39" t="s">
        <v>16</v>
      </c>
      <c r="C3" s="40">
        <f>SUM(C4:C7)</f>
        <v>1044919.66656</v>
      </c>
      <c r="D3" s="40">
        <f t="shared" ref="D3:AL3" si="2">SUM(D4:D7)</f>
        <v>653357.2061500001</v>
      </c>
      <c r="E3" s="40">
        <f t="shared" si="2"/>
        <v>631309.77402000001</v>
      </c>
      <c r="F3" s="40">
        <f t="shared" si="2"/>
        <v>434614.88303999993</v>
      </c>
      <c r="G3" s="40">
        <f t="shared" si="2"/>
        <v>235808.00919999997</v>
      </c>
      <c r="H3" s="40">
        <f t="shared" si="2"/>
        <v>193180.04777999999</v>
      </c>
      <c r="I3" s="40">
        <f t="shared" si="2"/>
        <v>177085.93252</v>
      </c>
      <c r="J3" s="40">
        <f t="shared" si="2"/>
        <v>182312.63340000002</v>
      </c>
      <c r="K3" s="40">
        <f t="shared" si="2"/>
        <v>209852.82317000002</v>
      </c>
      <c r="L3" s="40">
        <f t="shared" si="2"/>
        <v>490727.83206000004</v>
      </c>
      <c r="M3" s="40">
        <f t="shared" si="2"/>
        <v>624819.24037999997</v>
      </c>
      <c r="N3" s="40">
        <f t="shared" si="2"/>
        <v>651521.11881000001</v>
      </c>
      <c r="O3" s="40">
        <f t="shared" si="2"/>
        <v>746088.31384000008</v>
      </c>
      <c r="P3" s="40">
        <f t="shared" si="2"/>
        <v>679829.12248000014</v>
      </c>
      <c r="Q3" s="40">
        <f t="shared" si="2"/>
        <v>607778.40012999997</v>
      </c>
      <c r="R3" s="40">
        <f t="shared" si="2"/>
        <v>455622.84400000004</v>
      </c>
      <c r="S3" s="40">
        <f t="shared" si="2"/>
        <v>303112.71400000004</v>
      </c>
      <c r="T3" s="40">
        <f t="shared" si="2"/>
        <v>185169.196</v>
      </c>
      <c r="U3" s="40">
        <f t="shared" si="2"/>
        <v>193042.64499999999</v>
      </c>
      <c r="V3" s="40">
        <f t="shared" si="2"/>
        <v>204225.91654000001</v>
      </c>
      <c r="W3" s="40">
        <f t="shared" si="2"/>
        <v>250259.147</v>
      </c>
      <c r="X3" s="40">
        <f t="shared" si="2"/>
        <v>464751.16515000013</v>
      </c>
      <c r="Y3" s="40">
        <f t="shared" si="2"/>
        <v>532402.27513999993</v>
      </c>
      <c r="Z3" s="40">
        <f t="shared" si="2"/>
        <v>611527.52308000007</v>
      </c>
      <c r="AA3" s="40">
        <f t="shared" si="2"/>
        <v>709638.15131999995</v>
      </c>
      <c r="AB3" s="40">
        <f t="shared" si="2"/>
        <v>781133.85664000001</v>
      </c>
      <c r="AC3" s="40">
        <f t="shared" si="2"/>
        <v>766871.26</v>
      </c>
      <c r="AD3" s="40">
        <f t="shared" si="2"/>
        <v>393743.01666700002</v>
      </c>
      <c r="AE3" s="40">
        <f t="shared" si="2"/>
        <v>219047.84299999999</v>
      </c>
      <c r="AF3" s="40">
        <f t="shared" si="2"/>
        <v>187714.37499600003</v>
      </c>
      <c r="AG3" s="40">
        <f t="shared" si="2"/>
        <v>200075.54800000001</v>
      </c>
      <c r="AH3" s="40">
        <f t="shared" si="2"/>
        <v>179321.67169000002</v>
      </c>
      <c r="AI3" s="40">
        <f t="shared" si="2"/>
        <v>216108.01240000001</v>
      </c>
      <c r="AJ3" s="40">
        <f t="shared" si="2"/>
        <v>402539.598</v>
      </c>
      <c r="AK3" s="40">
        <f t="shared" si="2"/>
        <v>496319.09199999995</v>
      </c>
      <c r="AL3" s="40">
        <f t="shared" si="2"/>
        <v>688524.24</v>
      </c>
      <c r="AM3" s="40">
        <f t="shared" ref="AM3:BF3" si="3">SUM(AM4:AM7)</f>
        <v>789807.44700000004</v>
      </c>
      <c r="AN3" s="40">
        <f t="shared" si="3"/>
        <v>566760.62600000005</v>
      </c>
      <c r="AO3" s="40">
        <f t="shared" si="3"/>
        <v>563343.66499999992</v>
      </c>
      <c r="AP3" s="40">
        <f t="shared" si="3"/>
        <v>356611.10200000001</v>
      </c>
      <c r="AQ3" s="40">
        <f t="shared" si="3"/>
        <v>275576.83999999997</v>
      </c>
      <c r="AR3" s="40">
        <f t="shared" si="3"/>
        <v>170640.43400000001</v>
      </c>
      <c r="AS3" s="40">
        <f t="shared" si="3"/>
        <v>184074.40400000001</v>
      </c>
      <c r="AT3" s="40">
        <f t="shared" si="3"/>
        <v>204515.87599999999</v>
      </c>
      <c r="AU3" s="40">
        <f t="shared" si="3"/>
        <v>250902.18500000003</v>
      </c>
      <c r="AV3" s="40">
        <f t="shared" si="3"/>
        <v>384497.21900000004</v>
      </c>
      <c r="AW3" s="40">
        <f t="shared" si="3"/>
        <v>479380.13400000002</v>
      </c>
      <c r="AX3" s="40">
        <f t="shared" si="3"/>
        <v>582230.94299999997</v>
      </c>
      <c r="AY3" s="40">
        <f t="shared" si="3"/>
        <v>1456947.571</v>
      </c>
      <c r="AZ3" s="40">
        <f t="shared" si="3"/>
        <v>1358002.6709999999</v>
      </c>
      <c r="BA3" s="40">
        <f t="shared" si="3"/>
        <v>1462187.12</v>
      </c>
      <c r="BB3" s="40">
        <f t="shared" si="3"/>
        <v>1268969.7589999998</v>
      </c>
      <c r="BC3" s="40">
        <f t="shared" si="3"/>
        <v>570911.46600000001</v>
      </c>
      <c r="BD3" s="40">
        <f t="shared" si="3"/>
        <v>864361.78399999999</v>
      </c>
      <c r="BE3" s="40">
        <f t="shared" si="3"/>
        <v>755769.43200000003</v>
      </c>
      <c r="BF3" s="40">
        <f t="shared" si="3"/>
        <v>236383.87099999998</v>
      </c>
      <c r="BG3" s="41">
        <f t="shared" ref="BG3:BL3" si="4">SUM(BG4:BG7)</f>
        <v>915181.51600000006</v>
      </c>
      <c r="BH3" s="41">
        <f t="shared" si="4"/>
        <v>1246338.314</v>
      </c>
      <c r="BI3" s="41">
        <f t="shared" si="4"/>
        <v>1279159.1189999999</v>
      </c>
      <c r="BJ3" s="41">
        <f t="shared" si="4"/>
        <v>1563709.077</v>
      </c>
      <c r="BK3" s="41">
        <f t="shared" si="4"/>
        <v>1640281.584</v>
      </c>
      <c r="BL3" s="41">
        <f t="shared" si="4"/>
        <v>1565574.4689999998</v>
      </c>
      <c r="BM3" s="41">
        <f t="shared" ref="BM3:BV3" si="5">SUM(BM4:BM8)</f>
        <v>1401411.2329999998</v>
      </c>
      <c r="BN3" s="41">
        <f t="shared" si="5"/>
        <v>1304947.2520000003</v>
      </c>
      <c r="BO3" s="41">
        <f t="shared" si="5"/>
        <v>427123.19</v>
      </c>
      <c r="BP3" s="41">
        <f t="shared" si="5"/>
        <v>477910.109</v>
      </c>
      <c r="BQ3" s="41">
        <f t="shared" si="5"/>
        <v>321991.36900000001</v>
      </c>
      <c r="BR3" s="41">
        <f t="shared" si="5"/>
        <v>608139.397</v>
      </c>
      <c r="BS3" s="41">
        <f t="shared" si="5"/>
        <v>627177.59299999999</v>
      </c>
      <c r="BT3" s="41">
        <f t="shared" si="5"/>
        <v>670588.57900000003</v>
      </c>
      <c r="BU3" s="41">
        <f t="shared" si="5"/>
        <v>1152691.4710000001</v>
      </c>
      <c r="BV3" s="41">
        <f t="shared" si="5"/>
        <v>1173364.7689999999</v>
      </c>
      <c r="BW3" s="54">
        <f t="shared" ref="BW3:CH3" si="6">SUM(BW4:BW8)</f>
        <v>1691356.767</v>
      </c>
      <c r="BX3" s="64">
        <f t="shared" si="6"/>
        <v>1267412.1969999999</v>
      </c>
      <c r="BY3" s="64">
        <f t="shared" si="6"/>
        <v>739813.24900000007</v>
      </c>
      <c r="BZ3" s="64">
        <f t="shared" si="6"/>
        <v>714008.72</v>
      </c>
      <c r="CA3" s="64">
        <f t="shared" si="6"/>
        <v>586632.26199999999</v>
      </c>
      <c r="CB3" s="64">
        <f t="shared" si="6"/>
        <v>966955.99400000006</v>
      </c>
      <c r="CC3" s="64">
        <f t="shared" si="6"/>
        <v>850645.27800000005</v>
      </c>
      <c r="CD3" s="64">
        <f t="shared" si="6"/>
        <v>857416.25</v>
      </c>
      <c r="CE3" s="64">
        <f t="shared" si="6"/>
        <v>808626.755</v>
      </c>
      <c r="CF3" s="64">
        <f t="shared" si="6"/>
        <v>678882.97600000002</v>
      </c>
      <c r="CG3" s="64">
        <f t="shared" si="6"/>
        <v>968291.53600000008</v>
      </c>
      <c r="CH3" s="64">
        <f t="shared" si="6"/>
        <v>1384170.9169999999</v>
      </c>
    </row>
    <row r="4" spans="1:86" ht="19.5">
      <c r="A4" s="73"/>
      <c r="B4" s="36" t="s">
        <v>17</v>
      </c>
      <c r="C4" s="37">
        <v>1044688.5504000001</v>
      </c>
      <c r="D4" s="37">
        <v>653204.36830000009</v>
      </c>
      <c r="E4" s="37">
        <v>631157.71343999996</v>
      </c>
      <c r="F4" s="37">
        <v>434519.78660999995</v>
      </c>
      <c r="G4" s="37">
        <v>235787.55831999998</v>
      </c>
      <c r="H4" s="37">
        <v>36000.546150000002</v>
      </c>
      <c r="I4" s="37">
        <v>128595.10622</v>
      </c>
      <c r="J4" s="37">
        <v>62773.534189999998</v>
      </c>
      <c r="K4" s="37">
        <v>52278.085279999999</v>
      </c>
      <c r="L4" s="37">
        <v>85559.991930000004</v>
      </c>
      <c r="M4" s="37">
        <v>72474.714540000001</v>
      </c>
      <c r="N4" s="37">
        <v>46139.949840000001</v>
      </c>
      <c r="O4" s="37">
        <v>8968.9097600000005</v>
      </c>
      <c r="P4" s="37">
        <v>61312.172290000002</v>
      </c>
      <c r="Q4" s="37">
        <v>190573.94897999999</v>
      </c>
      <c r="R4" s="37">
        <v>47.209000000000003</v>
      </c>
      <c r="S4" s="37">
        <v>168116.42700000003</v>
      </c>
      <c r="T4" s="37">
        <v>161181.64799999999</v>
      </c>
      <c r="U4" s="37">
        <v>182138.91199999998</v>
      </c>
      <c r="V4" s="37">
        <v>203770.11199999999</v>
      </c>
      <c r="W4" s="37">
        <v>0</v>
      </c>
      <c r="X4" s="37">
        <v>12638.625</v>
      </c>
      <c r="Y4" s="37">
        <v>214414.592</v>
      </c>
      <c r="Z4" s="37">
        <v>363171.53600000002</v>
      </c>
      <c r="AA4" s="37">
        <v>205283.32800000001</v>
      </c>
      <c r="AB4" s="37">
        <v>288858.89299999998</v>
      </c>
      <c r="AC4" s="37">
        <v>244324.45800000001</v>
      </c>
      <c r="AD4" s="37">
        <v>157694.55166699999</v>
      </c>
      <c r="AE4" s="37">
        <v>11362.688</v>
      </c>
      <c r="AF4" s="37">
        <v>3585.9839999999999</v>
      </c>
      <c r="AG4" s="37">
        <v>949.76</v>
      </c>
      <c r="AH4" s="37">
        <v>0</v>
      </c>
      <c r="AI4" s="37">
        <v>0</v>
      </c>
      <c r="AJ4" s="37">
        <v>4206.8519999999999</v>
      </c>
      <c r="AK4" s="37">
        <v>85839.555999999997</v>
      </c>
      <c r="AL4" s="37">
        <v>121553.92</v>
      </c>
      <c r="AM4" s="37">
        <v>317483.82900000003</v>
      </c>
      <c r="AN4" s="37">
        <v>327403.87800000003</v>
      </c>
      <c r="AO4" s="37">
        <v>510235.00799999997</v>
      </c>
      <c r="AP4" s="37">
        <v>94899.372000000003</v>
      </c>
      <c r="AQ4" s="37">
        <v>0</v>
      </c>
      <c r="AR4" s="37">
        <v>513.20899999999995</v>
      </c>
      <c r="AS4" s="37">
        <v>672.83299999999997</v>
      </c>
      <c r="AT4" s="37">
        <v>30324.659</v>
      </c>
      <c r="AU4" s="37">
        <v>2228.029</v>
      </c>
      <c r="AV4" s="37">
        <v>273191.951</v>
      </c>
      <c r="AW4" s="37">
        <v>421354.84100000001</v>
      </c>
      <c r="AX4" s="37">
        <v>471574.79300000001</v>
      </c>
      <c r="AY4" s="37">
        <v>1454942.507</v>
      </c>
      <c r="AZ4" s="37">
        <v>1227913.6399999999</v>
      </c>
      <c r="BA4" s="37">
        <v>926437.34100000001</v>
      </c>
      <c r="BB4" s="37">
        <v>982831.01199999999</v>
      </c>
      <c r="BC4" s="37">
        <v>20052.77</v>
      </c>
      <c r="BD4" s="42">
        <v>717109.94900000002</v>
      </c>
      <c r="BE4" s="37">
        <v>566586.41599999997</v>
      </c>
      <c r="BF4" s="37">
        <v>114518.73</v>
      </c>
      <c r="BG4" s="38">
        <v>732080.30500000005</v>
      </c>
      <c r="BH4" s="37">
        <v>1025827.954</v>
      </c>
      <c r="BI4" s="42">
        <v>1023030.41</v>
      </c>
      <c r="BJ4" s="37">
        <v>1309325.04</v>
      </c>
      <c r="BK4" s="37">
        <v>1603502.4439999999</v>
      </c>
      <c r="BL4" s="37">
        <v>1464036.895</v>
      </c>
      <c r="BM4" s="37">
        <v>1378567.993</v>
      </c>
      <c r="BN4" s="37">
        <v>1169304.7990000001</v>
      </c>
      <c r="BO4" s="37">
        <v>337602.57500000001</v>
      </c>
      <c r="BP4" s="37">
        <v>454697.98499999999</v>
      </c>
      <c r="BQ4" s="37">
        <v>6126.2160000000003</v>
      </c>
      <c r="BR4" s="37">
        <v>571395.83499999996</v>
      </c>
      <c r="BS4" s="37">
        <v>601978.80099999998</v>
      </c>
      <c r="BT4" s="37">
        <v>649814.33400000003</v>
      </c>
      <c r="BU4" s="37">
        <v>1156906.1140000001</v>
      </c>
      <c r="BV4" s="37">
        <v>1131635.7879999999</v>
      </c>
      <c r="BW4" s="19">
        <v>1691168.523</v>
      </c>
      <c r="BX4" s="55">
        <v>1207352.2649999999</v>
      </c>
      <c r="BY4" s="55">
        <v>18194.95</v>
      </c>
      <c r="BZ4" s="61">
        <v>713904.46600000001</v>
      </c>
      <c r="CA4" s="61">
        <v>366953.125</v>
      </c>
      <c r="CB4" s="55">
        <v>966941.37600000005</v>
      </c>
      <c r="CC4" s="55">
        <v>850637.26800000004</v>
      </c>
      <c r="CD4" s="61">
        <v>857408.72100000002</v>
      </c>
      <c r="CE4" s="61">
        <v>808587.25399999996</v>
      </c>
      <c r="CF4" s="55">
        <v>678807.76199999999</v>
      </c>
      <c r="CG4" s="55">
        <v>968175.54500000004</v>
      </c>
      <c r="CH4" s="55">
        <v>1384003.007</v>
      </c>
    </row>
    <row r="5" spans="1:86" ht="19.5">
      <c r="B5" s="36" t="s">
        <v>18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157166.61359999998</v>
      </c>
      <c r="I5" s="37">
        <v>48482.91994</v>
      </c>
      <c r="J5" s="37">
        <v>119527.85393000001</v>
      </c>
      <c r="K5" s="37">
        <v>157543.18687000001</v>
      </c>
      <c r="L5" s="37">
        <v>405051.38232000003</v>
      </c>
      <c r="M5" s="37">
        <v>552193.96460000006</v>
      </c>
      <c r="N5" s="37">
        <v>605220.60105000006</v>
      </c>
      <c r="O5" s="37">
        <v>736933.53080000007</v>
      </c>
      <c r="P5" s="37">
        <v>618356.31682000007</v>
      </c>
      <c r="Q5" s="37">
        <v>417067.87135000003</v>
      </c>
      <c r="R5" s="37">
        <v>455465.37500000006</v>
      </c>
      <c r="S5" s="37">
        <v>134944.908</v>
      </c>
      <c r="T5" s="37">
        <v>23969.624</v>
      </c>
      <c r="U5" s="37">
        <v>10890.787</v>
      </c>
      <c r="V5" s="37">
        <v>443.06200000000001</v>
      </c>
      <c r="W5" s="37">
        <v>250223.274</v>
      </c>
      <c r="X5" s="37">
        <v>452009.83360000013</v>
      </c>
      <c r="Y5" s="37">
        <v>317857.71244999993</v>
      </c>
      <c r="Z5" s="37">
        <v>248194.38000000003</v>
      </c>
      <c r="AA5" s="37">
        <v>504174.41399999999</v>
      </c>
      <c r="AB5" s="37">
        <v>492087.56199999998</v>
      </c>
      <c r="AC5" s="37">
        <v>522371.97700000001</v>
      </c>
      <c r="AD5" s="37">
        <v>235958.95300000001</v>
      </c>
      <c r="AE5" s="37">
        <v>152529.14600000001</v>
      </c>
      <c r="AF5" s="37">
        <v>86200.232999999993</v>
      </c>
      <c r="AG5" s="37">
        <v>178838.45199999999</v>
      </c>
      <c r="AH5" s="37">
        <v>149335.61300000001</v>
      </c>
      <c r="AI5" s="37">
        <v>17002.366999999998</v>
      </c>
      <c r="AJ5" s="37">
        <v>398244.67599999998</v>
      </c>
      <c r="AK5" s="37">
        <v>410356.13299999997</v>
      </c>
      <c r="AL5" s="37">
        <v>566794.027</v>
      </c>
      <c r="AM5" s="37">
        <v>472120.44699999999</v>
      </c>
      <c r="AN5" s="37">
        <v>239211.147</v>
      </c>
      <c r="AO5" s="37">
        <v>52968.925000000003</v>
      </c>
      <c r="AP5" s="37">
        <v>261634.8</v>
      </c>
      <c r="AQ5" s="37">
        <v>275538.55</v>
      </c>
      <c r="AR5" s="37">
        <v>170119.67600000001</v>
      </c>
      <c r="AS5" s="37">
        <v>183390.429</v>
      </c>
      <c r="AT5" s="37">
        <v>174181.57</v>
      </c>
      <c r="AU5" s="37">
        <v>248632.08100000001</v>
      </c>
      <c r="AV5" s="37">
        <v>111206.378</v>
      </c>
      <c r="AW5" s="37">
        <v>57891.889000000003</v>
      </c>
      <c r="AX5" s="37">
        <v>110501.406</v>
      </c>
      <c r="AY5" s="37">
        <v>1858.0509999999999</v>
      </c>
      <c r="AZ5" s="37">
        <v>129947.193</v>
      </c>
      <c r="BA5" s="37">
        <v>535614.01800000004</v>
      </c>
      <c r="BB5" s="37">
        <v>286028.74900000001</v>
      </c>
      <c r="BC5" s="37">
        <v>550799.61899999995</v>
      </c>
      <c r="BD5" s="42">
        <v>147239.66699999999</v>
      </c>
      <c r="BE5" s="37">
        <v>189172.83599999998</v>
      </c>
      <c r="BF5" s="37">
        <v>121853.47899999999</v>
      </c>
      <c r="BG5" s="38">
        <v>183064.429</v>
      </c>
      <c r="BH5" s="37">
        <v>220426.386</v>
      </c>
      <c r="BI5" s="42">
        <v>256001.33100000001</v>
      </c>
      <c r="BJ5" s="37">
        <v>254212.93799999999</v>
      </c>
      <c r="BK5" s="37">
        <v>36582.090000000004</v>
      </c>
      <c r="BL5" s="37">
        <v>101340.451</v>
      </c>
      <c r="BM5" s="37">
        <v>16175.352999999999</v>
      </c>
      <c r="BN5" s="37">
        <v>129548.87</v>
      </c>
      <c r="BO5" s="37">
        <v>89465.29</v>
      </c>
      <c r="BP5" s="37">
        <v>23201.743999999999</v>
      </c>
      <c r="BQ5" s="37">
        <v>315857.31299999997</v>
      </c>
      <c r="BR5" s="37">
        <v>36728.307000000001</v>
      </c>
      <c r="BS5" s="37">
        <v>25138.488000000001</v>
      </c>
      <c r="BT5" s="37">
        <v>20677.826000000001</v>
      </c>
      <c r="BU5" s="37">
        <v>-4338.29</v>
      </c>
      <c r="BV5" s="37">
        <v>-14007.873</v>
      </c>
      <c r="BW5" s="19">
        <v>0</v>
      </c>
      <c r="BX5" s="55">
        <v>26007.269</v>
      </c>
      <c r="BY5" s="55">
        <v>374702.86499999999</v>
      </c>
      <c r="BZ5" s="61">
        <v>0</v>
      </c>
      <c r="CA5" s="61">
        <v>0</v>
      </c>
      <c r="CB5" s="55">
        <v>0</v>
      </c>
      <c r="CC5" s="55">
        <v>0</v>
      </c>
      <c r="CD5" s="61">
        <v>0</v>
      </c>
      <c r="CE5" s="61">
        <v>0</v>
      </c>
      <c r="CF5" s="55">
        <v>0</v>
      </c>
      <c r="CG5" s="55">
        <v>0</v>
      </c>
      <c r="CH5" s="55">
        <v>0</v>
      </c>
    </row>
    <row r="6" spans="1:86" ht="19.5">
      <c r="B6" s="36" t="s">
        <v>19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55141.326999999997</v>
      </c>
      <c r="AF6" s="37">
        <v>97919.14299600001</v>
      </c>
      <c r="AG6" s="37">
        <v>20278.416000000001</v>
      </c>
      <c r="AH6" s="37">
        <v>29978.456689999999</v>
      </c>
      <c r="AI6" s="37">
        <v>199078.9184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42">
        <v>0</v>
      </c>
      <c r="BE6" s="37">
        <v>0</v>
      </c>
      <c r="BF6" s="37">
        <v>0</v>
      </c>
      <c r="BG6" s="38">
        <v>0</v>
      </c>
      <c r="BH6" s="37">
        <v>0</v>
      </c>
      <c r="BI6" s="42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19">
        <v>0</v>
      </c>
      <c r="BX6" s="55">
        <v>0</v>
      </c>
      <c r="BY6" s="55">
        <v>0</v>
      </c>
      <c r="BZ6" s="61">
        <v>0</v>
      </c>
      <c r="CA6" s="61">
        <v>0</v>
      </c>
      <c r="CB6" s="55">
        <v>0</v>
      </c>
      <c r="CC6" s="55">
        <v>0</v>
      </c>
      <c r="CD6" s="61">
        <v>0</v>
      </c>
      <c r="CE6" s="61">
        <v>0</v>
      </c>
      <c r="CF6" s="55">
        <v>0</v>
      </c>
      <c r="CG6" s="55">
        <v>0</v>
      </c>
      <c r="CH6" s="55">
        <v>0</v>
      </c>
    </row>
    <row r="7" spans="1:86" ht="19.5">
      <c r="B7" s="36" t="s">
        <v>20</v>
      </c>
      <c r="C7" s="37">
        <v>231.11616000000001</v>
      </c>
      <c r="D7" s="37">
        <v>152.83785</v>
      </c>
      <c r="E7" s="37">
        <v>152.06057999999999</v>
      </c>
      <c r="F7" s="37">
        <v>95.096429999999998</v>
      </c>
      <c r="G7" s="37">
        <v>20.450879999999998</v>
      </c>
      <c r="H7" s="37">
        <v>12.888030000000001</v>
      </c>
      <c r="I7" s="37">
        <v>7.9063600000000003</v>
      </c>
      <c r="J7" s="37">
        <v>11.245280000000001</v>
      </c>
      <c r="K7" s="37">
        <v>31.551020000000001</v>
      </c>
      <c r="L7" s="37">
        <v>116.45781000000001</v>
      </c>
      <c r="M7" s="37">
        <v>150.56124000000003</v>
      </c>
      <c r="N7" s="37">
        <v>160.56792000000002</v>
      </c>
      <c r="O7" s="37">
        <v>185.87327999999999</v>
      </c>
      <c r="P7" s="37">
        <v>160.63336999999999</v>
      </c>
      <c r="Q7" s="37">
        <v>136.57979999999998</v>
      </c>
      <c r="R7" s="37">
        <v>110.26</v>
      </c>
      <c r="S7" s="37">
        <v>51.378999999999998</v>
      </c>
      <c r="T7" s="37">
        <v>17.923999999999999</v>
      </c>
      <c r="U7" s="37">
        <v>12.946</v>
      </c>
      <c r="V7" s="37">
        <v>12.742539999999998</v>
      </c>
      <c r="W7" s="37">
        <v>35.872999999999998</v>
      </c>
      <c r="X7" s="37">
        <v>102.70655000000002</v>
      </c>
      <c r="Y7" s="37">
        <v>129.97068999999996</v>
      </c>
      <c r="Z7" s="37">
        <v>161.60708</v>
      </c>
      <c r="AA7" s="37">
        <v>180.40931999999998</v>
      </c>
      <c r="AB7" s="37">
        <v>187.40163999999999</v>
      </c>
      <c r="AC7" s="37">
        <v>174.82499999999999</v>
      </c>
      <c r="AD7" s="37">
        <v>89.512</v>
      </c>
      <c r="AE7" s="37">
        <v>14.682</v>
      </c>
      <c r="AF7" s="37">
        <v>9.0150000000000006</v>
      </c>
      <c r="AG7" s="37">
        <v>8.92</v>
      </c>
      <c r="AH7" s="37">
        <v>7.6020000000000003</v>
      </c>
      <c r="AI7" s="37">
        <v>26.727</v>
      </c>
      <c r="AJ7" s="37">
        <v>88.07</v>
      </c>
      <c r="AK7" s="37">
        <v>123.40300000000001</v>
      </c>
      <c r="AL7" s="37">
        <v>176.29300000000001</v>
      </c>
      <c r="AM7" s="37">
        <v>203.17099999999999</v>
      </c>
      <c r="AN7" s="37">
        <v>145.601</v>
      </c>
      <c r="AO7" s="37">
        <v>139.732</v>
      </c>
      <c r="AP7" s="37">
        <v>76.930000000000007</v>
      </c>
      <c r="AQ7" s="37">
        <v>38.29</v>
      </c>
      <c r="AR7" s="37">
        <v>7.5490000000000004</v>
      </c>
      <c r="AS7" s="37">
        <v>11.141999999999999</v>
      </c>
      <c r="AT7" s="37">
        <v>9.6470000000000002</v>
      </c>
      <c r="AU7" s="37">
        <v>42.075000000000003</v>
      </c>
      <c r="AV7" s="37">
        <v>98.89</v>
      </c>
      <c r="AW7" s="37">
        <v>133.404</v>
      </c>
      <c r="AX7" s="37">
        <v>154.744</v>
      </c>
      <c r="AY7" s="37">
        <v>147.01300000000001</v>
      </c>
      <c r="AZ7" s="37">
        <v>141.83799999999999</v>
      </c>
      <c r="BA7" s="37">
        <v>135.761</v>
      </c>
      <c r="BB7" s="37">
        <v>109.998</v>
      </c>
      <c r="BC7" s="37">
        <v>59.076999999999998</v>
      </c>
      <c r="BD7" s="42">
        <v>12.167999999999999</v>
      </c>
      <c r="BE7" s="37">
        <v>10.18</v>
      </c>
      <c r="BF7" s="37">
        <v>11.662000000000001</v>
      </c>
      <c r="BG7" s="38">
        <v>36.781999999999996</v>
      </c>
      <c r="BH7" s="37">
        <v>83.974000000000004</v>
      </c>
      <c r="BI7" s="42">
        <v>127.378</v>
      </c>
      <c r="BJ7" s="37">
        <v>171.09899999999999</v>
      </c>
      <c r="BK7" s="37">
        <v>197.05</v>
      </c>
      <c r="BL7" s="37">
        <v>197.12299999999999</v>
      </c>
      <c r="BM7" s="37">
        <v>162.56200000000001</v>
      </c>
      <c r="BN7" s="37">
        <v>104.093</v>
      </c>
      <c r="BO7" s="37">
        <v>55.325000000000003</v>
      </c>
      <c r="BP7" s="37">
        <v>10.38</v>
      </c>
      <c r="BQ7" s="37">
        <v>7.84</v>
      </c>
      <c r="BR7" s="37">
        <v>15.255000000000001</v>
      </c>
      <c r="BS7" s="37">
        <v>60.304000000000002</v>
      </c>
      <c r="BT7" s="37">
        <v>96.418999999999997</v>
      </c>
      <c r="BU7" s="37">
        <v>123.64700000000001</v>
      </c>
      <c r="BV7" s="37">
        <v>205.376</v>
      </c>
      <c r="BW7" s="19">
        <v>188.244</v>
      </c>
      <c r="BX7" s="55">
        <v>157.86799999999999</v>
      </c>
      <c r="BY7" s="55">
        <v>139.13499999999999</v>
      </c>
      <c r="BZ7" s="61">
        <v>104.254</v>
      </c>
      <c r="CA7" s="61">
        <v>52.28</v>
      </c>
      <c r="CB7" s="55">
        <v>14.618</v>
      </c>
      <c r="CC7" s="55">
        <v>8.01</v>
      </c>
      <c r="CD7" s="61">
        <v>7.5289999999999999</v>
      </c>
      <c r="CE7" s="61">
        <v>39.500999999999998</v>
      </c>
      <c r="CF7" s="55">
        <v>75.213999999999999</v>
      </c>
      <c r="CG7" s="55">
        <v>115.991</v>
      </c>
      <c r="CH7" s="55">
        <v>167.91</v>
      </c>
    </row>
    <row r="8" spans="1:86" ht="19.5">
      <c r="B8" s="36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42"/>
      <c r="BE8" s="37"/>
      <c r="BF8" s="37"/>
      <c r="BG8" s="38"/>
      <c r="BH8" s="37">
        <v>0</v>
      </c>
      <c r="BI8" s="42">
        <v>0</v>
      </c>
      <c r="BJ8" s="37">
        <v>0</v>
      </c>
      <c r="BK8" s="37">
        <v>0</v>
      </c>
      <c r="BL8" s="37">
        <v>0</v>
      </c>
      <c r="BM8" s="37">
        <v>6505.3249999999998</v>
      </c>
      <c r="BN8" s="37">
        <v>5989.49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55531.478000000003</v>
      </c>
      <c r="BW8" s="19">
        <v>0</v>
      </c>
      <c r="BX8" s="55">
        <v>33894.794999999998</v>
      </c>
      <c r="BY8" s="55">
        <v>346776.299</v>
      </c>
      <c r="BZ8" s="61">
        <v>0</v>
      </c>
      <c r="CA8" s="61">
        <v>219626.85699999999</v>
      </c>
      <c r="CB8" s="55">
        <v>0</v>
      </c>
      <c r="CC8" s="55">
        <v>0</v>
      </c>
      <c r="CD8" s="61">
        <v>0</v>
      </c>
      <c r="CE8" s="61">
        <v>0</v>
      </c>
      <c r="CF8" s="55">
        <v>0</v>
      </c>
      <c r="CG8" s="55">
        <v>0</v>
      </c>
      <c r="CH8" s="55">
        <v>0</v>
      </c>
    </row>
    <row r="9" spans="1:86" s="11" customFormat="1" ht="18.75">
      <c r="B9" s="39" t="s">
        <v>21</v>
      </c>
      <c r="C9" s="40">
        <v>248245.77888000003</v>
      </c>
      <c r="D9" s="40">
        <v>803540.81330000004</v>
      </c>
      <c r="E9" s="40">
        <v>877484.69117999997</v>
      </c>
      <c r="F9" s="40">
        <v>605705.25951</v>
      </c>
      <c r="G9" s="40">
        <v>428756.10768000002</v>
      </c>
      <c r="H9" s="40">
        <v>2247628.3246500003</v>
      </c>
      <c r="I9" s="40">
        <v>3963186.7352700001</v>
      </c>
      <c r="J9" s="40">
        <v>4586425.8833599994</v>
      </c>
      <c r="K9" s="40">
        <v>4540064.7015899997</v>
      </c>
      <c r="L9" s="40">
        <v>632547.01835999999</v>
      </c>
      <c r="M9" s="40">
        <v>5295.80386</v>
      </c>
      <c r="N9" s="40">
        <v>0</v>
      </c>
      <c r="O9" s="40">
        <v>0</v>
      </c>
      <c r="P9" s="40">
        <v>9612.9415900000004</v>
      </c>
      <c r="Q9" s="40">
        <v>0</v>
      </c>
      <c r="R9" s="40">
        <v>0</v>
      </c>
      <c r="S9" s="40">
        <v>594583.77391999995</v>
      </c>
      <c r="T9" s="40">
        <v>555865.26450000005</v>
      </c>
      <c r="U9" s="40">
        <v>1035329.4155700001</v>
      </c>
      <c r="V9" s="40">
        <v>2294567.1308999998</v>
      </c>
      <c r="W9" s="40">
        <v>4488644.4917700002</v>
      </c>
      <c r="X9" s="40">
        <v>3651088.6628999999</v>
      </c>
      <c r="Y9" s="40">
        <v>210387.46758000003</v>
      </c>
      <c r="Z9" s="40">
        <v>142421.74328</v>
      </c>
      <c r="AA9" s="40">
        <v>210390.88368</v>
      </c>
      <c r="AB9" s="40">
        <v>62640.017469999999</v>
      </c>
      <c r="AC9" s="40">
        <v>408084.93296000006</v>
      </c>
      <c r="AD9" s="40">
        <v>5825.676449999999</v>
      </c>
      <c r="AE9" s="40">
        <v>54404.009279999991</v>
      </c>
      <c r="AF9" s="40">
        <v>489335.94394000008</v>
      </c>
      <c r="AG9" s="40">
        <v>2943467.0496</v>
      </c>
      <c r="AH9" s="40">
        <v>3800136.7770399996</v>
      </c>
      <c r="AI9" s="40">
        <v>4191078.3702200004</v>
      </c>
      <c r="AJ9" s="40">
        <v>1987766.7171400001</v>
      </c>
      <c r="AK9" s="40">
        <v>596440.84355999995</v>
      </c>
      <c r="AL9" s="40">
        <v>404938.82714999997</v>
      </c>
      <c r="AM9" s="40">
        <v>211260.45618000001</v>
      </c>
      <c r="AN9" s="40">
        <v>803456.47146000003</v>
      </c>
      <c r="AO9" s="40">
        <v>211488.17112000001</v>
      </c>
      <c r="AP9" s="40">
        <v>445.45214999999996</v>
      </c>
      <c r="AQ9" s="40">
        <v>2730090.08134</v>
      </c>
      <c r="AR9" s="40">
        <v>2841333.6007499998</v>
      </c>
      <c r="AS9" s="40">
        <v>4114744.1581600001</v>
      </c>
      <c r="AT9" s="40">
        <v>3307597.1165200002</v>
      </c>
      <c r="AU9" s="40">
        <v>3173471.3315000003</v>
      </c>
      <c r="AV9" s="40">
        <v>1243345.9323399998</v>
      </c>
      <c r="AW9" s="40">
        <v>277465.43156</v>
      </c>
      <c r="AX9" s="40">
        <v>265492.40727000003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0">
        <v>0</v>
      </c>
      <c r="BF9" s="40">
        <v>0</v>
      </c>
      <c r="BG9" s="41">
        <v>0</v>
      </c>
      <c r="BH9" s="40">
        <v>0</v>
      </c>
      <c r="BI9" s="44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56">
        <v>0</v>
      </c>
      <c r="BY9" s="56">
        <v>0</v>
      </c>
      <c r="BZ9" s="65">
        <v>0</v>
      </c>
      <c r="CA9" s="62">
        <v>0</v>
      </c>
      <c r="CB9" s="56">
        <v>0</v>
      </c>
      <c r="CC9" s="56">
        <v>0</v>
      </c>
      <c r="CD9" s="62">
        <v>0</v>
      </c>
      <c r="CE9" s="62">
        <v>0</v>
      </c>
      <c r="CF9" s="56">
        <v>0</v>
      </c>
      <c r="CG9" s="74">
        <v>0</v>
      </c>
      <c r="CH9" s="56">
        <v>0</v>
      </c>
    </row>
    <row r="10" spans="1:86" ht="19.5">
      <c r="B10" s="36" t="s">
        <v>22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37">
        <v>0</v>
      </c>
      <c r="BF10" s="37">
        <v>0</v>
      </c>
      <c r="BG10" s="38">
        <v>0</v>
      </c>
      <c r="BH10" s="37">
        <v>0</v>
      </c>
      <c r="BI10" s="45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19">
        <v>0</v>
      </c>
      <c r="BX10" s="55">
        <v>0</v>
      </c>
      <c r="BY10" s="55">
        <v>0</v>
      </c>
      <c r="BZ10" s="66">
        <v>0</v>
      </c>
      <c r="CA10" s="61">
        <v>0</v>
      </c>
      <c r="CB10" s="55">
        <v>0</v>
      </c>
      <c r="CC10" s="55">
        <v>0</v>
      </c>
      <c r="CD10" s="61">
        <v>0</v>
      </c>
      <c r="CE10" s="61">
        <v>0</v>
      </c>
      <c r="CF10" s="55">
        <v>0</v>
      </c>
      <c r="CG10" s="55">
        <v>0</v>
      </c>
      <c r="CH10" s="55">
        <v>0</v>
      </c>
    </row>
    <row r="11" spans="1:86" ht="19.5">
      <c r="B11" s="36" t="s">
        <v>23</v>
      </c>
      <c r="C11" s="37">
        <f t="shared" ref="C11:AX11" si="7">C12+C17+C18</f>
        <v>1292668.7980800001</v>
      </c>
      <c r="D11" s="37">
        <f t="shared" si="7"/>
        <v>1448544.2235000001</v>
      </c>
      <c r="E11" s="37">
        <f t="shared" si="7"/>
        <v>1508095.1678200001</v>
      </c>
      <c r="F11" s="37">
        <f t="shared" si="7"/>
        <v>1033024.79007</v>
      </c>
      <c r="G11" s="37">
        <f t="shared" si="7"/>
        <v>663196.58000000007</v>
      </c>
      <c r="H11" s="37">
        <f t="shared" si="7"/>
        <v>2440396.3790700003</v>
      </c>
      <c r="I11" s="37">
        <f t="shared" si="7"/>
        <v>4142702.9221900003</v>
      </c>
      <c r="J11" s="37">
        <f t="shared" si="7"/>
        <v>4768426.302889999</v>
      </c>
      <c r="K11" s="37">
        <f t="shared" si="7"/>
        <v>4749202.4874200001</v>
      </c>
      <c r="L11" s="37">
        <f t="shared" si="7"/>
        <v>1114538.1903300001</v>
      </c>
      <c r="M11" s="37">
        <f t="shared" si="7"/>
        <v>627044.41709999996</v>
      </c>
      <c r="N11" s="37">
        <f t="shared" si="7"/>
        <v>649718.76066000003</v>
      </c>
      <c r="O11" s="37">
        <f t="shared" si="7"/>
        <v>747311.93767999997</v>
      </c>
      <c r="P11" s="37">
        <f t="shared" si="7"/>
        <v>690823.16697999998</v>
      </c>
      <c r="Q11" s="37">
        <f t="shared" si="7"/>
        <v>608286.07417000004</v>
      </c>
      <c r="R11" s="37">
        <f t="shared" si="7"/>
        <v>457517.109</v>
      </c>
      <c r="S11" s="37">
        <f t="shared" si="7"/>
        <v>894356.88155999989</v>
      </c>
      <c r="T11" s="37">
        <f t="shared" si="7"/>
        <v>742467.14850000001</v>
      </c>
      <c r="U11" s="37">
        <f t="shared" si="7"/>
        <v>1231025.7456</v>
      </c>
      <c r="V11" s="37">
        <f t="shared" si="7"/>
        <v>2499001.2019499997</v>
      </c>
      <c r="W11" s="37">
        <f t="shared" si="7"/>
        <v>4738844.8280800004</v>
      </c>
      <c r="X11" s="37">
        <f t="shared" si="7"/>
        <v>4099247.0349900001</v>
      </c>
      <c r="Y11" s="37">
        <f t="shared" si="7"/>
        <v>741818.83809000009</v>
      </c>
      <c r="Z11" s="37">
        <f t="shared" si="7"/>
        <v>753435.55888000014</v>
      </c>
      <c r="AA11" s="37">
        <f t="shared" si="7"/>
        <v>918052.18151999998</v>
      </c>
      <c r="AB11" s="37">
        <f t="shared" si="7"/>
        <v>847381.2768799999</v>
      </c>
      <c r="AC11" s="37">
        <f t="shared" si="7"/>
        <v>1172223.6844000001</v>
      </c>
      <c r="AD11" s="37">
        <f t="shared" si="7"/>
        <v>401371.05084999988</v>
      </c>
      <c r="AE11" s="37">
        <f t="shared" si="7"/>
        <v>276530.37695999997</v>
      </c>
      <c r="AF11" s="37">
        <f t="shared" si="7"/>
        <v>678715.86524000007</v>
      </c>
      <c r="AG11" s="37">
        <f t="shared" si="7"/>
        <v>3135801.04116</v>
      </c>
      <c r="AH11" s="37">
        <f t="shared" si="7"/>
        <v>3990163.7025199994</v>
      </c>
      <c r="AI11" s="37">
        <f t="shared" si="7"/>
        <v>4403198.5448900005</v>
      </c>
      <c r="AJ11" s="37">
        <f t="shared" si="7"/>
        <v>2378217.20946</v>
      </c>
      <c r="AK11" s="37">
        <f t="shared" si="7"/>
        <v>1093078.8106799999</v>
      </c>
      <c r="AL11" s="37">
        <f t="shared" si="7"/>
        <v>1085022.9575799999</v>
      </c>
      <c r="AM11" s="37">
        <f t="shared" si="7"/>
        <v>998674.26665999985</v>
      </c>
      <c r="AN11" s="37">
        <f>AN12+AN17+AN18</f>
        <v>1370673.29486</v>
      </c>
      <c r="AO11" s="37">
        <f>AO12+AO17+AO18</f>
        <v>773900.26283999998</v>
      </c>
      <c r="AP11" s="37">
        <f t="shared" si="7"/>
        <v>355762.55881000002</v>
      </c>
      <c r="AQ11" s="37">
        <f t="shared" si="7"/>
        <v>3009271.4196699997</v>
      </c>
      <c r="AR11" s="37">
        <f t="shared" si="7"/>
        <v>3016148.3689099997</v>
      </c>
      <c r="AS11" s="37">
        <f t="shared" si="7"/>
        <v>4306398.1863139998</v>
      </c>
      <c r="AT11" s="37">
        <f t="shared" si="7"/>
        <v>3513448.6315600001</v>
      </c>
      <c r="AU11" s="37">
        <f t="shared" si="7"/>
        <v>3418613.68756</v>
      </c>
      <c r="AV11" s="37">
        <f t="shared" si="7"/>
        <v>1615390.2226099998</v>
      </c>
      <c r="AW11" s="37">
        <f t="shared" si="7"/>
        <v>755175.25060000003</v>
      </c>
      <c r="AX11" s="37">
        <f t="shared" si="7"/>
        <v>834250.58441000001</v>
      </c>
      <c r="AY11" s="37">
        <f>AY12+AY17+AY18+AY14</f>
        <v>1449890.5353600001</v>
      </c>
      <c r="AZ11" s="37">
        <f t="shared" ref="AZ11:BB11" si="8">AZ12+AZ17+AZ18+AZ14</f>
        <v>1366137.7348000002</v>
      </c>
      <c r="BA11" s="37">
        <f t="shared" si="8"/>
        <v>1453026.38469</v>
      </c>
      <c r="BB11" s="37">
        <f t="shared" si="8"/>
        <v>1272534.3855400002</v>
      </c>
      <c r="BC11" s="37">
        <f t="shared" ref="BC11:BG11" si="9">BC12+BC17+BC18+BC14</f>
        <v>573270.15776999993</v>
      </c>
      <c r="BD11" s="37">
        <f t="shared" si="9"/>
        <v>874146.53911999997</v>
      </c>
      <c r="BE11" s="37">
        <f t="shared" si="9"/>
        <v>756668.30012999999</v>
      </c>
      <c r="BF11" s="37">
        <f t="shared" si="9"/>
        <v>227662.37644999998</v>
      </c>
      <c r="BG11" s="38">
        <f t="shared" si="9"/>
        <v>914968.7893399999</v>
      </c>
      <c r="BH11" s="38">
        <f t="shared" ref="BH11:BK11" si="10">BH12+BH17+BH18+BH14</f>
        <v>1247254.6499599998</v>
      </c>
      <c r="BI11" s="38">
        <f t="shared" si="10"/>
        <v>1277518.6470699999</v>
      </c>
      <c r="BJ11" s="38">
        <f t="shared" si="10"/>
        <v>1548916.8495100001</v>
      </c>
      <c r="BK11" s="38">
        <f t="shared" si="10"/>
        <v>1643519.8558800002</v>
      </c>
      <c r="BL11" s="38">
        <f>BL12+BL17+BL18+BL14</f>
        <v>1560548.54287</v>
      </c>
      <c r="BM11" s="46">
        <f>BM12+BM14+BM17+BM18</f>
        <v>1414999.8531900002</v>
      </c>
      <c r="BN11" s="38">
        <f t="shared" ref="BN11:CH11" si="11">BN12+BN17+BN18+BN14</f>
        <v>1278907.05852</v>
      </c>
      <c r="BO11" s="38">
        <f t="shared" si="11"/>
        <v>434174.60094000003</v>
      </c>
      <c r="BP11" s="38">
        <f t="shared" si="11"/>
        <v>475529.92327999999</v>
      </c>
      <c r="BQ11" s="38">
        <f t="shared" si="11"/>
        <v>330989.99426000001</v>
      </c>
      <c r="BR11" s="38">
        <f t="shared" si="11"/>
        <v>607329.26534000004</v>
      </c>
      <c r="BS11" s="38">
        <f t="shared" si="11"/>
        <v>626280.35865000007</v>
      </c>
      <c r="BT11" s="38">
        <f t="shared" si="11"/>
        <v>670258.23277999996</v>
      </c>
      <c r="BU11" s="38">
        <f t="shared" si="11"/>
        <v>1146756.8971099998</v>
      </c>
      <c r="BV11" s="38">
        <f t="shared" si="11"/>
        <v>1170688.7793399999</v>
      </c>
      <c r="BW11" s="38">
        <f t="shared" si="11"/>
        <v>1700099.5474599998</v>
      </c>
      <c r="BX11" s="63">
        <f t="shared" si="11"/>
        <v>1256266.42658</v>
      </c>
      <c r="BY11" s="63">
        <f t="shared" si="11"/>
        <v>749587.76492999995</v>
      </c>
      <c r="BZ11" s="63">
        <f t="shared" si="11"/>
        <v>712838.87424999999</v>
      </c>
      <c r="CA11" s="67">
        <f t="shared" si="11"/>
        <v>580712.19085000001</v>
      </c>
      <c r="CB11" s="63">
        <f t="shared" si="11"/>
        <v>958047.49936999986</v>
      </c>
      <c r="CC11" s="63">
        <f t="shared" si="11"/>
        <v>860877.81998999999</v>
      </c>
      <c r="CD11" s="67">
        <f t="shared" si="11"/>
        <v>860325.57015000004</v>
      </c>
      <c r="CE11" s="67">
        <f t="shared" si="11"/>
        <v>800602.53294999991</v>
      </c>
      <c r="CF11" s="63">
        <f t="shared" si="11"/>
        <v>679348.61687000003</v>
      </c>
      <c r="CG11" s="63">
        <f t="shared" si="11"/>
        <v>964585.13274000003</v>
      </c>
      <c r="CH11" s="63">
        <f t="shared" si="11"/>
        <v>1378170.02627</v>
      </c>
    </row>
    <row r="12" spans="1:86" s="11" customFormat="1" ht="18.75">
      <c r="B12" s="39" t="s">
        <v>24</v>
      </c>
      <c r="C12" s="40">
        <v>1044423.0192000001</v>
      </c>
      <c r="D12" s="40">
        <v>645003.41020000004</v>
      </c>
      <c r="E12" s="40">
        <v>630610.47664000001</v>
      </c>
      <c r="F12" s="40">
        <v>427319.53055999998</v>
      </c>
      <c r="G12" s="40">
        <v>234440.47232</v>
      </c>
      <c r="H12" s="40">
        <v>192565.61598</v>
      </c>
      <c r="I12" s="40">
        <v>179200.42931000001</v>
      </c>
      <c r="J12" s="40">
        <v>181886.80233999999</v>
      </c>
      <c r="K12" s="40">
        <v>209137.78582999998</v>
      </c>
      <c r="L12" s="40">
        <v>481991.17197000002</v>
      </c>
      <c r="M12" s="40">
        <v>620401.13511999999</v>
      </c>
      <c r="N12" s="40">
        <v>649718.76066000003</v>
      </c>
      <c r="O12" s="40">
        <v>747311.93767999997</v>
      </c>
      <c r="P12" s="40">
        <v>681210.22539000004</v>
      </c>
      <c r="Q12" s="40">
        <v>608286.07417000004</v>
      </c>
      <c r="R12" s="40">
        <v>457469.42849999998</v>
      </c>
      <c r="S12" s="40">
        <v>299221.61686999997</v>
      </c>
      <c r="T12" s="40">
        <v>186222.87599999999</v>
      </c>
      <c r="U12" s="40">
        <v>195177.87656999999</v>
      </c>
      <c r="V12" s="40">
        <v>204212.53104999999</v>
      </c>
      <c r="W12" s="40">
        <v>250200.33631000001</v>
      </c>
      <c r="X12" s="40">
        <v>447212.51228999998</v>
      </c>
      <c r="Y12" s="40">
        <v>531431.37051000004</v>
      </c>
      <c r="Z12" s="40">
        <v>611013.81560000009</v>
      </c>
      <c r="AA12" s="40">
        <v>707661.29784000001</v>
      </c>
      <c r="AB12" s="40">
        <v>784741.25940999994</v>
      </c>
      <c r="AC12" s="40">
        <v>764138.75144000014</v>
      </c>
      <c r="AD12" s="40">
        <v>395545.37439999991</v>
      </c>
      <c r="AE12" s="40">
        <v>219652.92287999997</v>
      </c>
      <c r="AF12" s="40">
        <v>188615.08609999999</v>
      </c>
      <c r="AG12" s="40">
        <v>188643.76215999998</v>
      </c>
      <c r="AH12" s="40">
        <v>188111.95804</v>
      </c>
      <c r="AI12" s="40">
        <v>212120.17467000001</v>
      </c>
      <c r="AJ12" s="40">
        <v>390450.49232000002</v>
      </c>
      <c r="AK12" s="40">
        <v>496637.96711999999</v>
      </c>
      <c r="AL12" s="40">
        <v>680084.1304299999</v>
      </c>
      <c r="AM12" s="40">
        <v>787413.81047999987</v>
      </c>
      <c r="AN12" s="40">
        <v>567216.82339999999</v>
      </c>
      <c r="AO12" s="40">
        <v>562412.09171999991</v>
      </c>
      <c r="AP12" s="40">
        <v>354843.70522</v>
      </c>
      <c r="AQ12" s="40">
        <v>274263.86936000001</v>
      </c>
      <c r="AR12" s="40">
        <v>173461.96872999999</v>
      </c>
      <c r="AS12" s="40">
        <v>190935.64518400002</v>
      </c>
      <c r="AT12" s="40">
        <v>204047.86751000001</v>
      </c>
      <c r="AU12" s="40">
        <v>242911.46969999999</v>
      </c>
      <c r="AV12" s="40">
        <v>369697.61267999996</v>
      </c>
      <c r="AW12" s="40">
        <v>477262.66628000006</v>
      </c>
      <c r="AX12" s="40">
        <v>568754.57564000005</v>
      </c>
      <c r="AY12" s="40">
        <v>565372.98436000012</v>
      </c>
      <c r="AZ12" s="40">
        <v>537436.64080000005</v>
      </c>
      <c r="BA12" s="40">
        <v>527910.28368999995</v>
      </c>
      <c r="BB12" s="40">
        <v>398627.19354000007</v>
      </c>
      <c r="BC12" s="40">
        <v>280344.24777000002</v>
      </c>
      <c r="BD12" s="47">
        <v>186908.83912000002</v>
      </c>
      <c r="BE12" s="40">
        <v>183337.94822999998</v>
      </c>
      <c r="BF12" s="40">
        <v>194924.85339999996</v>
      </c>
      <c r="BG12" s="41">
        <v>239031.05734</v>
      </c>
      <c r="BH12" s="40">
        <v>316319.95995999995</v>
      </c>
      <c r="BI12" s="40">
        <v>432835.80849999998</v>
      </c>
      <c r="BJ12" s="40">
        <v>617081.03312000004</v>
      </c>
      <c r="BK12" s="40">
        <v>702299.20088000013</v>
      </c>
      <c r="BL12" s="40">
        <v>752650.41446999996</v>
      </c>
      <c r="BM12" s="40">
        <v>577972.07071000012</v>
      </c>
      <c r="BN12" s="40">
        <v>392019.06843999994</v>
      </c>
      <c r="BO12" s="40">
        <v>280483.78291999997</v>
      </c>
      <c r="BP12" s="40">
        <v>173388.66295</v>
      </c>
      <c r="BQ12" s="47">
        <v>167281.65510999999</v>
      </c>
      <c r="BR12" s="40">
        <v>210411.52226</v>
      </c>
      <c r="BS12" s="40">
        <v>272680.81065</v>
      </c>
      <c r="BT12" s="40">
        <v>324423.13663000002</v>
      </c>
      <c r="BU12" s="40">
        <v>453147.60110999993</v>
      </c>
      <c r="BV12" s="40">
        <v>767805.21933999984</v>
      </c>
      <c r="BW12" s="40">
        <v>652126.60745999985</v>
      </c>
      <c r="BX12" s="56">
        <v>519448.56501999998</v>
      </c>
      <c r="BY12" s="56">
        <v>491915.53892999998</v>
      </c>
      <c r="BZ12" s="62">
        <v>332343.20624999999</v>
      </c>
      <c r="CA12" s="62">
        <v>221088.60397</v>
      </c>
      <c r="CB12" s="56">
        <v>150309.20444999993</v>
      </c>
      <c r="CC12" s="56">
        <v>133336.09899</v>
      </c>
      <c r="CD12" s="62">
        <v>138284.78949</v>
      </c>
      <c r="CE12" s="62">
        <v>161208.18595000001</v>
      </c>
      <c r="CF12" s="56">
        <v>201516.27286999999</v>
      </c>
      <c r="CG12" s="56">
        <v>320182.87474</v>
      </c>
      <c r="CH12" s="56">
        <v>455009.38426999998</v>
      </c>
    </row>
    <row r="13" spans="1:86" ht="19.5">
      <c r="B13" s="36" t="s">
        <v>25</v>
      </c>
      <c r="C13" s="37">
        <v>2738.1023999999998</v>
      </c>
      <c r="D13" s="37">
        <v>1665.4863</v>
      </c>
      <c r="E13" s="37">
        <v>1549.76998</v>
      </c>
      <c r="F13" s="37">
        <v>841.96826999999985</v>
      </c>
      <c r="G13" s="37">
        <v>958.01432</v>
      </c>
      <c r="H13" s="37">
        <v>1020.8336400000001</v>
      </c>
      <c r="I13" s="37">
        <v>1005.9997499999999</v>
      </c>
      <c r="J13" s="37">
        <v>1197.4125200000001</v>
      </c>
      <c r="K13" s="37">
        <v>619.78521000000001</v>
      </c>
      <c r="L13" s="37">
        <v>930.97146000000009</v>
      </c>
      <c r="M13" s="37">
        <v>63.847840000000005</v>
      </c>
      <c r="N13" s="37">
        <v>2292.2808600000003</v>
      </c>
      <c r="O13" s="37">
        <v>1755.75632</v>
      </c>
      <c r="P13" s="37">
        <v>1473.9289199999998</v>
      </c>
      <c r="Q13" s="37">
        <v>692.74910999999997</v>
      </c>
      <c r="R13" s="37">
        <v>843.255</v>
      </c>
      <c r="S13" s="37">
        <v>875.53736000000004</v>
      </c>
      <c r="T13" s="37">
        <v>761.89049999999997</v>
      </c>
      <c r="U13" s="37">
        <v>1914.15681</v>
      </c>
      <c r="V13" s="37">
        <v>820.8057</v>
      </c>
      <c r="W13" s="37">
        <v>1187.3316300000001</v>
      </c>
      <c r="X13" s="37">
        <v>2366.9633699999999</v>
      </c>
      <c r="Y13" s="37">
        <v>1542.1367700000001</v>
      </c>
      <c r="Z13" s="37">
        <v>1603.4295199999999</v>
      </c>
      <c r="AA13" s="37">
        <v>2892.76296</v>
      </c>
      <c r="AB13" s="37">
        <v>1830.5679399999999</v>
      </c>
      <c r="AC13" s="37">
        <v>1271.8318400000001</v>
      </c>
      <c r="AD13" s="37">
        <v>1694.2793999999999</v>
      </c>
      <c r="AE13" s="37">
        <v>1113.90624</v>
      </c>
      <c r="AF13" s="37">
        <v>1247.6897200000003</v>
      </c>
      <c r="AG13" s="37">
        <v>-616.48729999999989</v>
      </c>
      <c r="AH13" s="37">
        <v>-1518.4249199999999</v>
      </c>
      <c r="AI13" s="37">
        <v>-252.40031999999999</v>
      </c>
      <c r="AJ13" s="37">
        <v>826.88771999999994</v>
      </c>
      <c r="AK13" s="37">
        <v>1968.8818000000001</v>
      </c>
      <c r="AL13" s="37">
        <v>1921.71884</v>
      </c>
      <c r="AM13" s="37">
        <v>2414.4157700000001</v>
      </c>
      <c r="AN13" s="37">
        <v>3073.90353</v>
      </c>
      <c r="AO13" s="37">
        <v>2546.7069999999999</v>
      </c>
      <c r="AP13" s="37">
        <v>477.22399999999999</v>
      </c>
      <c r="AQ13" s="37">
        <v>351.49655000000001</v>
      </c>
      <c r="AR13" s="37">
        <v>562.90193999999997</v>
      </c>
      <c r="AS13" s="37">
        <v>173.12734</v>
      </c>
      <c r="AT13" s="37">
        <v>-128.45221000000001</v>
      </c>
      <c r="AU13" s="37">
        <v>265.16399999999999</v>
      </c>
      <c r="AV13" s="37">
        <v>259.46899999999999</v>
      </c>
      <c r="AW13" s="37">
        <v>1390.13455</v>
      </c>
      <c r="AX13" s="37">
        <v>1232.5939699999999</v>
      </c>
      <c r="AY13" s="37">
        <v>686.83952999999997</v>
      </c>
      <c r="AZ13" s="37">
        <v>146.89470000000006</v>
      </c>
      <c r="BA13" s="37">
        <v>-1815.82681</v>
      </c>
      <c r="BB13" s="37">
        <v>191.86350000000002</v>
      </c>
      <c r="BC13" s="37">
        <v>1940.7285200000001</v>
      </c>
      <c r="BD13" s="37">
        <v>-171.78650000000002</v>
      </c>
      <c r="BE13" s="37">
        <v>561.31587000000002</v>
      </c>
      <c r="BF13" s="37">
        <v>4521.3522199999998</v>
      </c>
      <c r="BG13" s="38">
        <v>-831.7946199999999</v>
      </c>
      <c r="BH13" s="37">
        <v>76.554250000000025</v>
      </c>
      <c r="BI13" s="42">
        <v>833.13005999999996</v>
      </c>
      <c r="BJ13" s="37">
        <v>1.2029900000379701</v>
      </c>
      <c r="BK13" s="37">
        <v>2035.8039600000002</v>
      </c>
      <c r="BL13" s="37">
        <v>2807.4657299999999</v>
      </c>
      <c r="BM13" s="37">
        <v>791.73840999999993</v>
      </c>
      <c r="BN13" s="37">
        <v>-201.44740000000002</v>
      </c>
      <c r="BO13" s="37">
        <v>1390.8341400000002</v>
      </c>
      <c r="BP13" s="37">
        <v>1920.4478000000001</v>
      </c>
      <c r="BQ13" s="37">
        <v>1662.51188</v>
      </c>
      <c r="BR13" s="37">
        <v>-402.82519000000002</v>
      </c>
      <c r="BS13" s="37">
        <v>877.25046999999995</v>
      </c>
      <c r="BT13" s="37">
        <v>249.8879</v>
      </c>
      <c r="BU13" s="37">
        <v>805.30368999999996</v>
      </c>
      <c r="BV13" s="37">
        <v>1869.3228100000001</v>
      </c>
      <c r="BW13" s="37">
        <v>443.66219000000001</v>
      </c>
      <c r="BX13" s="55">
        <v>971.41498999999999</v>
      </c>
      <c r="BY13" s="55">
        <v>1868.1375499999999</v>
      </c>
      <c r="BZ13" s="61">
        <v>926.49699999999996</v>
      </c>
      <c r="CA13" s="61">
        <v>466.36572999999999</v>
      </c>
      <c r="CB13" s="55">
        <v>1002.65509</v>
      </c>
      <c r="CC13" s="55">
        <v>1588.9380799999999</v>
      </c>
      <c r="CD13" s="61">
        <v>448.10035399999998</v>
      </c>
      <c r="CE13" s="61">
        <v>736.60005000000001</v>
      </c>
      <c r="CF13" s="55">
        <v>1912.5085899999999</v>
      </c>
      <c r="CG13" s="55">
        <v>2138.8813399999699</v>
      </c>
      <c r="CH13" s="55">
        <v>3072.33691</v>
      </c>
    </row>
    <row r="14" spans="1:86" s="18" customFormat="1" ht="19.5">
      <c r="B14" s="3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0">
        <f>SUM(AN15:AN16)</f>
        <v>0</v>
      </c>
      <c r="AO14" s="40">
        <f t="shared" ref="AO14:BE14" si="12">SUM(AO15:AO16)</f>
        <v>0</v>
      </c>
      <c r="AP14" s="40">
        <f t="shared" si="12"/>
        <v>0</v>
      </c>
      <c r="AQ14" s="40">
        <f t="shared" si="12"/>
        <v>0</v>
      </c>
      <c r="AR14" s="40">
        <f t="shared" si="12"/>
        <v>0</v>
      </c>
      <c r="AS14" s="40">
        <f t="shared" si="12"/>
        <v>0</v>
      </c>
      <c r="AT14" s="40">
        <f t="shared" si="12"/>
        <v>0</v>
      </c>
      <c r="AU14" s="40">
        <f t="shared" si="12"/>
        <v>0</v>
      </c>
      <c r="AV14" s="40">
        <f t="shared" si="12"/>
        <v>0</v>
      </c>
      <c r="AW14" s="40">
        <f t="shared" si="12"/>
        <v>0</v>
      </c>
      <c r="AX14" s="40">
        <f t="shared" si="12"/>
        <v>0</v>
      </c>
      <c r="AY14" s="40">
        <f t="shared" si="12"/>
        <v>884517.55099999998</v>
      </c>
      <c r="AZ14" s="40">
        <f t="shared" si="12"/>
        <v>828701.09400000004</v>
      </c>
      <c r="BA14" s="40">
        <f t="shared" si="12"/>
        <v>925116.10100000002</v>
      </c>
      <c r="BB14" s="40">
        <f t="shared" si="12"/>
        <v>873907.19200000004</v>
      </c>
      <c r="BC14" s="40">
        <f t="shared" si="12"/>
        <v>292925.90999999997</v>
      </c>
      <c r="BD14" s="40">
        <f t="shared" si="12"/>
        <v>687237.7</v>
      </c>
      <c r="BE14" s="40">
        <f t="shared" si="12"/>
        <v>572792.53399999999</v>
      </c>
      <c r="BF14" s="40">
        <f t="shared" ref="BF14:BK14" si="13">SUM(BF15:BF16)</f>
        <v>32729.436999999998</v>
      </c>
      <c r="BG14" s="41">
        <f t="shared" si="13"/>
        <v>675937.73199999996</v>
      </c>
      <c r="BH14" s="41">
        <f t="shared" si="13"/>
        <v>930934.69</v>
      </c>
      <c r="BI14" s="41">
        <f t="shared" si="13"/>
        <v>844673.44400000002</v>
      </c>
      <c r="BJ14" s="41">
        <f t="shared" si="13"/>
        <v>931746.42799999996</v>
      </c>
      <c r="BK14" s="41">
        <f t="shared" si="13"/>
        <v>941220.65500000003</v>
      </c>
      <c r="BL14" s="41">
        <f t="shared" ref="BL14:CH14" si="14">SUM(BL15:BL16)</f>
        <v>807849.03700000001</v>
      </c>
      <c r="BM14" s="41">
        <f t="shared" si="14"/>
        <v>836863.81799999997</v>
      </c>
      <c r="BN14" s="41">
        <f t="shared" si="14"/>
        <v>886841.25199999998</v>
      </c>
      <c r="BO14" s="41">
        <f t="shared" si="14"/>
        <v>153639.87100000001</v>
      </c>
      <c r="BP14" s="41">
        <f t="shared" si="14"/>
        <v>300103.701</v>
      </c>
      <c r="BQ14" s="41">
        <f t="shared" si="14"/>
        <v>158688.57500000001</v>
      </c>
      <c r="BR14" s="41">
        <f t="shared" si="14"/>
        <v>396142.67300000001</v>
      </c>
      <c r="BS14" s="41">
        <f t="shared" si="14"/>
        <v>353599.54800000001</v>
      </c>
      <c r="BT14" s="41">
        <f t="shared" si="14"/>
        <v>345501.82</v>
      </c>
      <c r="BU14" s="41">
        <f t="shared" si="14"/>
        <v>693609.29599999997</v>
      </c>
      <c r="BV14" s="41">
        <f t="shared" si="14"/>
        <v>402883.56</v>
      </c>
      <c r="BW14" s="41">
        <f t="shared" si="14"/>
        <v>1047972.94</v>
      </c>
      <c r="BX14" s="68">
        <f t="shared" si="14"/>
        <v>736553.93700000003</v>
      </c>
      <c r="BY14" s="68">
        <f t="shared" si="14"/>
        <v>257672.226</v>
      </c>
      <c r="BZ14" s="68">
        <f t="shared" si="14"/>
        <v>380495.66800000001</v>
      </c>
      <c r="CA14" s="69">
        <f t="shared" si="14"/>
        <v>358357.23300000001</v>
      </c>
      <c r="CB14" s="68">
        <f t="shared" si="14"/>
        <v>807332.45299999998</v>
      </c>
      <c r="CC14" s="68">
        <f t="shared" si="14"/>
        <v>727541.72100000002</v>
      </c>
      <c r="CD14" s="69">
        <f t="shared" si="14"/>
        <v>720948.28200000001</v>
      </c>
      <c r="CE14" s="69">
        <f t="shared" si="14"/>
        <v>639390.53099999996</v>
      </c>
      <c r="CF14" s="68">
        <f t="shared" si="14"/>
        <v>477832.34399999998</v>
      </c>
      <c r="CG14" s="68">
        <f t="shared" si="14"/>
        <v>644402.25800000003</v>
      </c>
      <c r="CH14" s="68">
        <f t="shared" si="14"/>
        <v>923160.64199999999</v>
      </c>
    </row>
    <row r="15" spans="1:86" ht="19.5">
      <c r="B15" s="36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10459.388000000001</v>
      </c>
      <c r="BD15" s="37">
        <v>0</v>
      </c>
      <c r="BE15" s="37">
        <v>0</v>
      </c>
      <c r="BF15" s="37">
        <v>0</v>
      </c>
      <c r="BG15" s="38">
        <v>0</v>
      </c>
      <c r="BH15" s="37">
        <v>0</v>
      </c>
      <c r="BI15" s="45">
        <v>0</v>
      </c>
      <c r="BJ15" s="37">
        <v>0</v>
      </c>
      <c r="BK15" s="37">
        <v>0</v>
      </c>
      <c r="BL15" s="37">
        <v>0</v>
      </c>
      <c r="BM15" s="37">
        <v>3110.2919999999999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55">
        <v>13303.416999999999</v>
      </c>
      <c r="BY15" s="55">
        <v>249097.85800000001</v>
      </c>
      <c r="BZ15" s="61">
        <v>0</v>
      </c>
      <c r="CA15" s="61">
        <v>62498.686000000002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</row>
    <row r="16" spans="1:86" ht="19.5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884517.55099999998</v>
      </c>
      <c r="AZ16" s="37">
        <v>828701.09400000004</v>
      </c>
      <c r="BA16" s="37">
        <v>925116.10100000002</v>
      </c>
      <c r="BB16" s="37">
        <v>873907.19200000004</v>
      </c>
      <c r="BC16" s="37">
        <v>282466.522</v>
      </c>
      <c r="BD16" s="37">
        <v>687237.7</v>
      </c>
      <c r="BE16" s="37">
        <v>572792.53399999999</v>
      </c>
      <c r="BF16" s="37">
        <v>32729.436999999998</v>
      </c>
      <c r="BG16" s="38">
        <v>675937.73199999996</v>
      </c>
      <c r="BH16" s="37">
        <v>930934.69</v>
      </c>
      <c r="BI16" s="37">
        <v>844673.44400000002</v>
      </c>
      <c r="BJ16" s="37">
        <v>931746.42799999996</v>
      </c>
      <c r="BK16" s="37">
        <v>941220.65500000003</v>
      </c>
      <c r="BL16" s="37">
        <v>807849.03700000001</v>
      </c>
      <c r="BM16" s="37">
        <v>833753.52599999995</v>
      </c>
      <c r="BN16" s="37">
        <v>886841.25199999998</v>
      </c>
      <c r="BO16" s="37">
        <v>153639.87100000001</v>
      </c>
      <c r="BP16" s="37">
        <v>300103.701</v>
      </c>
      <c r="BQ16" s="46">
        <v>158688.57500000001</v>
      </c>
      <c r="BR16" s="37">
        <v>396142.67300000001</v>
      </c>
      <c r="BS16" s="37">
        <v>353599.54800000001</v>
      </c>
      <c r="BT16" s="37">
        <v>345501.82</v>
      </c>
      <c r="BU16" s="37">
        <v>693609.29599999997</v>
      </c>
      <c r="BV16" s="37">
        <v>402883.56</v>
      </c>
      <c r="BW16" s="37">
        <v>1047972.94</v>
      </c>
      <c r="BX16" s="55">
        <v>723250.52</v>
      </c>
      <c r="BY16" s="55">
        <v>8574.3680000000004</v>
      </c>
      <c r="BZ16" s="61">
        <v>380495.66800000001</v>
      </c>
      <c r="CA16" s="61">
        <v>295858.54700000002</v>
      </c>
      <c r="CB16" s="55">
        <v>807332.45299999998</v>
      </c>
      <c r="CC16" s="55">
        <v>727541.72100000002</v>
      </c>
      <c r="CD16" s="61">
        <v>720948.28200000001</v>
      </c>
      <c r="CE16" s="61">
        <v>639390.53099999996</v>
      </c>
      <c r="CF16" s="55">
        <v>477832.34399999998</v>
      </c>
      <c r="CG16" s="55">
        <v>644402.25800000003</v>
      </c>
      <c r="CH16" s="55">
        <v>923160.64199999999</v>
      </c>
    </row>
    <row r="17" spans="2:86" s="11" customFormat="1" ht="18.75">
      <c r="B17" s="39" t="s">
        <v>21</v>
      </c>
      <c r="C17" s="40">
        <f>C9</f>
        <v>248245.77888000003</v>
      </c>
      <c r="D17" s="40">
        <f t="shared" ref="D17:BC17" si="15">D9</f>
        <v>803540.81330000004</v>
      </c>
      <c r="E17" s="40">
        <f t="shared" si="15"/>
        <v>877484.69117999997</v>
      </c>
      <c r="F17" s="40">
        <f t="shared" si="15"/>
        <v>605705.25951</v>
      </c>
      <c r="G17" s="40">
        <f t="shared" si="15"/>
        <v>428756.10768000002</v>
      </c>
      <c r="H17" s="40">
        <f t="shared" si="15"/>
        <v>2247628.3246500003</v>
      </c>
      <c r="I17" s="40">
        <f t="shared" si="15"/>
        <v>3963186.7352700001</v>
      </c>
      <c r="J17" s="40">
        <f t="shared" si="15"/>
        <v>4586425.8833599994</v>
      </c>
      <c r="K17" s="40">
        <f t="shared" si="15"/>
        <v>4540064.7015899997</v>
      </c>
      <c r="L17" s="40">
        <f t="shared" si="15"/>
        <v>632547.01835999999</v>
      </c>
      <c r="M17" s="40">
        <f t="shared" si="15"/>
        <v>5295.80386</v>
      </c>
      <c r="N17" s="40">
        <f t="shared" si="15"/>
        <v>0</v>
      </c>
      <c r="O17" s="40">
        <f t="shared" si="15"/>
        <v>0</v>
      </c>
      <c r="P17" s="40">
        <f t="shared" si="15"/>
        <v>9612.9415900000004</v>
      </c>
      <c r="Q17" s="40">
        <f t="shared" si="15"/>
        <v>0</v>
      </c>
      <c r="R17" s="40">
        <f t="shared" si="15"/>
        <v>0</v>
      </c>
      <c r="S17" s="40">
        <f t="shared" si="15"/>
        <v>594583.77391999995</v>
      </c>
      <c r="T17" s="40">
        <f t="shared" si="15"/>
        <v>555865.26450000005</v>
      </c>
      <c r="U17" s="40">
        <f t="shared" si="15"/>
        <v>1035329.4155700001</v>
      </c>
      <c r="V17" s="40">
        <f t="shared" si="15"/>
        <v>2294567.1308999998</v>
      </c>
      <c r="W17" s="40">
        <f t="shared" si="15"/>
        <v>4488644.4917700002</v>
      </c>
      <c r="X17" s="40">
        <f t="shared" si="15"/>
        <v>3651088.6628999999</v>
      </c>
      <c r="Y17" s="40">
        <f t="shared" si="15"/>
        <v>210387.46758000003</v>
      </c>
      <c r="Z17" s="40">
        <f t="shared" si="15"/>
        <v>142421.74328</v>
      </c>
      <c r="AA17" s="40">
        <f t="shared" si="15"/>
        <v>210390.88368</v>
      </c>
      <c r="AB17" s="40">
        <f t="shared" si="15"/>
        <v>62640.017469999999</v>
      </c>
      <c r="AC17" s="40">
        <f t="shared" si="15"/>
        <v>408084.93296000006</v>
      </c>
      <c r="AD17" s="40">
        <f t="shared" si="15"/>
        <v>5825.676449999999</v>
      </c>
      <c r="AE17" s="40">
        <f t="shared" si="15"/>
        <v>54404.009279999991</v>
      </c>
      <c r="AF17" s="40">
        <f t="shared" si="15"/>
        <v>489335.94394000008</v>
      </c>
      <c r="AG17" s="40">
        <f t="shared" si="15"/>
        <v>2943467.0496</v>
      </c>
      <c r="AH17" s="40">
        <f t="shared" si="15"/>
        <v>3800136.7770399996</v>
      </c>
      <c r="AI17" s="40">
        <f t="shared" si="15"/>
        <v>4191078.3702200004</v>
      </c>
      <c r="AJ17" s="40">
        <f t="shared" si="15"/>
        <v>1987766.7171400001</v>
      </c>
      <c r="AK17" s="40">
        <f t="shared" si="15"/>
        <v>596440.84355999995</v>
      </c>
      <c r="AL17" s="40">
        <f t="shared" si="15"/>
        <v>404938.82714999997</v>
      </c>
      <c r="AM17" s="40">
        <f t="shared" si="15"/>
        <v>211260.45618000001</v>
      </c>
      <c r="AN17" s="40">
        <f t="shared" si="15"/>
        <v>803456.47146000003</v>
      </c>
      <c r="AO17" s="40">
        <f t="shared" si="15"/>
        <v>211488.17112000001</v>
      </c>
      <c r="AP17" s="40">
        <f t="shared" si="15"/>
        <v>445.45214999999996</v>
      </c>
      <c r="AQ17" s="40">
        <f t="shared" si="15"/>
        <v>2730090.08134</v>
      </c>
      <c r="AR17" s="40">
        <f t="shared" si="15"/>
        <v>2841333.6007499998</v>
      </c>
      <c r="AS17" s="40">
        <f t="shared" si="15"/>
        <v>4114744.1581600001</v>
      </c>
      <c r="AT17" s="40">
        <f t="shared" si="15"/>
        <v>3307597.1165200002</v>
      </c>
      <c r="AU17" s="40">
        <f t="shared" si="15"/>
        <v>3173471.3315000003</v>
      </c>
      <c r="AV17" s="40">
        <f t="shared" si="15"/>
        <v>1243345.9323399998</v>
      </c>
      <c r="AW17" s="40">
        <f t="shared" si="15"/>
        <v>277465.43156</v>
      </c>
      <c r="AX17" s="40">
        <f t="shared" si="15"/>
        <v>265492.40727000003</v>
      </c>
      <c r="AY17" s="40">
        <f t="shared" si="15"/>
        <v>0</v>
      </c>
      <c r="AZ17" s="40">
        <f t="shared" si="15"/>
        <v>0</v>
      </c>
      <c r="BA17" s="40">
        <f t="shared" si="15"/>
        <v>0</v>
      </c>
      <c r="BB17" s="40">
        <f t="shared" si="15"/>
        <v>0</v>
      </c>
      <c r="BC17" s="40">
        <f t="shared" si="15"/>
        <v>0</v>
      </c>
      <c r="BD17" s="40">
        <v>0</v>
      </c>
      <c r="BE17" s="40">
        <v>0</v>
      </c>
      <c r="BF17" s="40">
        <v>0</v>
      </c>
      <c r="BG17" s="41">
        <v>0</v>
      </c>
      <c r="BH17" s="40">
        <v>0</v>
      </c>
      <c r="BI17" s="43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56">
        <v>0</v>
      </c>
      <c r="BY17" s="56">
        <v>0</v>
      </c>
      <c r="BZ17" s="56">
        <v>0</v>
      </c>
      <c r="CA17" s="62">
        <v>0</v>
      </c>
      <c r="CB17" s="56">
        <v>0</v>
      </c>
      <c r="CC17" s="56">
        <v>0</v>
      </c>
      <c r="CD17" s="62">
        <v>0</v>
      </c>
      <c r="CE17" s="62">
        <v>0</v>
      </c>
      <c r="CF17" s="56">
        <v>0</v>
      </c>
      <c r="CG17" s="56">
        <v>0</v>
      </c>
      <c r="CH17" s="56">
        <v>0</v>
      </c>
    </row>
    <row r="18" spans="2:86" ht="19.5">
      <c r="B18" s="36" t="s">
        <v>26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202.43844000000001</v>
      </c>
      <c r="I18" s="37">
        <v>315.75761</v>
      </c>
      <c r="J18" s="37">
        <v>113.61719000000001</v>
      </c>
      <c r="K18" s="37">
        <v>0</v>
      </c>
      <c r="L18" s="37">
        <v>0</v>
      </c>
      <c r="M18" s="37">
        <v>1347.4781200000002</v>
      </c>
      <c r="N18" s="37">
        <v>0</v>
      </c>
      <c r="O18" s="37">
        <v>0</v>
      </c>
      <c r="P18" s="37">
        <v>0</v>
      </c>
      <c r="Q18" s="37">
        <v>0</v>
      </c>
      <c r="R18" s="37">
        <v>47.680500000000002</v>
      </c>
      <c r="S18" s="37">
        <v>551.49077</v>
      </c>
      <c r="T18" s="37">
        <v>379.00799999999998</v>
      </c>
      <c r="U18" s="37">
        <v>518.45346000000006</v>
      </c>
      <c r="V18" s="37">
        <v>221.53999999999996</v>
      </c>
      <c r="W18" s="37">
        <v>0</v>
      </c>
      <c r="X18" s="37">
        <v>945.85980000000006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2473.4447999999998</v>
      </c>
      <c r="AF18" s="37">
        <v>764.8352000000001</v>
      </c>
      <c r="AG18" s="37">
        <v>3690.2293999999997</v>
      </c>
      <c r="AH18" s="37">
        <v>1914.9674399999999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473.40143999999998</v>
      </c>
      <c r="AQ18" s="37">
        <v>4917.4689699999999</v>
      </c>
      <c r="AR18" s="37">
        <v>1352.79943</v>
      </c>
      <c r="AS18" s="37">
        <v>718.38297</v>
      </c>
      <c r="AT18" s="37">
        <v>1803.64753</v>
      </c>
      <c r="AU18" s="37">
        <v>2230.88636</v>
      </c>
      <c r="AV18" s="37">
        <v>2346.6775899999998</v>
      </c>
      <c r="AW18" s="37">
        <v>447.15276</v>
      </c>
      <c r="AX18" s="37">
        <v>3.6015000000000001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37">
        <v>0</v>
      </c>
      <c r="BE18" s="37">
        <v>537.81790000000001</v>
      </c>
      <c r="BF18" s="37">
        <v>8.0860500000000002</v>
      </c>
      <c r="BG18" s="38">
        <v>0</v>
      </c>
      <c r="BH18" s="37">
        <v>0</v>
      </c>
      <c r="BI18" s="42">
        <v>9.3945699999999999</v>
      </c>
      <c r="BJ18" s="37">
        <v>89.388390000000001</v>
      </c>
      <c r="BK18" s="37">
        <v>0</v>
      </c>
      <c r="BL18" s="37">
        <v>49.0914</v>
      </c>
      <c r="BM18" s="37">
        <v>163.96448000000001</v>
      </c>
      <c r="BN18" s="37">
        <v>46.738079999999997</v>
      </c>
      <c r="BO18" s="37">
        <v>50.947020000000002</v>
      </c>
      <c r="BP18" s="37">
        <v>2037.55933</v>
      </c>
      <c r="BQ18" s="37">
        <v>5019.76415</v>
      </c>
      <c r="BR18" s="37">
        <v>775.07007999999996</v>
      </c>
      <c r="BS18" s="37">
        <v>0</v>
      </c>
      <c r="BT18" s="37">
        <v>333.27614999999997</v>
      </c>
      <c r="BU18" s="37">
        <v>0</v>
      </c>
      <c r="BV18" s="37">
        <v>0</v>
      </c>
      <c r="BW18" s="37">
        <v>0</v>
      </c>
      <c r="BX18" s="55">
        <v>263.92455999999999</v>
      </c>
      <c r="BY18" s="55">
        <v>0</v>
      </c>
      <c r="BZ18" s="55">
        <v>0</v>
      </c>
      <c r="CA18" s="61">
        <v>1266.3538799999999</v>
      </c>
      <c r="CB18" s="55">
        <v>405.84192000000002</v>
      </c>
      <c r="CC18" s="55">
        <v>0</v>
      </c>
      <c r="CD18" s="61">
        <v>1092.49866</v>
      </c>
      <c r="CE18" s="61">
        <v>3.8159999999999998</v>
      </c>
      <c r="CF18" s="55">
        <v>0</v>
      </c>
      <c r="CG18" s="55">
        <v>0</v>
      </c>
      <c r="CH18" s="55">
        <v>0</v>
      </c>
    </row>
    <row r="19" spans="2:86" s="11" customFormat="1" ht="18.75">
      <c r="B19" s="39" t="s">
        <v>29</v>
      </c>
      <c r="C19" s="40">
        <v>39410.352960000004</v>
      </c>
      <c r="D19" s="40">
        <v>46061.340926719116</v>
      </c>
      <c r="E19" s="40">
        <v>45167.206495100058</v>
      </c>
      <c r="F19" s="40">
        <v>51577.739163041944</v>
      </c>
      <c r="G19" s="40">
        <v>51938.278805759779</v>
      </c>
      <c r="H19" s="40">
        <v>51675.033451634372</v>
      </c>
      <c r="I19" s="40">
        <v>48141.193260965149</v>
      </c>
      <c r="J19" s="40">
        <v>46891.630143627881</v>
      </c>
      <c r="K19" s="40">
        <v>47076.291845919623</v>
      </c>
      <c r="L19" s="40">
        <v>54702.806790547642</v>
      </c>
      <c r="M19" s="40">
        <v>57657.341093122712</v>
      </c>
      <c r="N19" s="40">
        <v>57222.539069999999</v>
      </c>
      <c r="O19" s="40">
        <v>54297.812720000002</v>
      </c>
      <c r="P19" s="40">
        <v>51494.591780000002</v>
      </c>
      <c r="Q19" s="40">
        <v>50294.16863</v>
      </c>
      <c r="R19" s="40">
        <v>47561.241000000002</v>
      </c>
      <c r="S19" s="40">
        <v>49984.891960000001</v>
      </c>
      <c r="T19" s="40">
        <v>47756.2575</v>
      </c>
      <c r="U19" s="40">
        <v>43123.490490000004</v>
      </c>
      <c r="V19" s="40">
        <v>42203.662599999996</v>
      </c>
      <c r="W19" s="40">
        <v>41265.499060000002</v>
      </c>
      <c r="X19" s="40">
        <v>55507.982340000002</v>
      </c>
      <c r="Y19" s="40">
        <v>54946.675170000002</v>
      </c>
      <c r="Z19" s="40">
        <v>53901.018960000001</v>
      </c>
      <c r="AA19" s="40">
        <v>53293.828719999998</v>
      </c>
      <c r="AB19" s="40">
        <v>48082.929080000002</v>
      </c>
      <c r="AC19" s="40">
        <v>49467.779840000003</v>
      </c>
      <c r="AD19" s="40">
        <v>45231.539649999999</v>
      </c>
      <c r="AE19" s="40">
        <v>41023.896479999996</v>
      </c>
      <c r="AF19" s="40">
        <v>38005.018819999998</v>
      </c>
      <c r="AG19" s="40">
        <v>46408.941149999999</v>
      </c>
      <c r="AH19" s="40">
        <v>33900.924599999998</v>
      </c>
      <c r="AI19" s="40">
        <v>37589.527759999997</v>
      </c>
      <c r="AJ19" s="40">
        <v>48497.057800000002</v>
      </c>
      <c r="AK19" s="40">
        <v>46184.252759999996</v>
      </c>
      <c r="AL19" s="40">
        <v>57271.224999999991</v>
      </c>
      <c r="AM19" s="40">
        <v>52186.33296</v>
      </c>
      <c r="AN19" s="40">
        <v>49616.586630000005</v>
      </c>
      <c r="AO19" s="40">
        <v>47350.505440000008</v>
      </c>
      <c r="AP19" s="40">
        <v>48642.336049999998</v>
      </c>
      <c r="AQ19" s="40">
        <v>44669.821020000003</v>
      </c>
      <c r="AR19" s="40">
        <v>41640.08365</v>
      </c>
      <c r="AS19" s="40">
        <v>33250.189440000002</v>
      </c>
      <c r="AT19" s="40">
        <v>32738.795999999998</v>
      </c>
      <c r="AU19" s="40">
        <v>38499.268499999998</v>
      </c>
      <c r="AV19" s="40">
        <v>49643.399579999998</v>
      </c>
      <c r="AW19" s="40">
        <v>50649.777120000006</v>
      </c>
      <c r="AX19" s="40">
        <v>62029.651110000006</v>
      </c>
      <c r="AY19" s="40">
        <f>6760935*10.46/1000</f>
        <v>70719.380100000009</v>
      </c>
      <c r="AZ19" s="40">
        <f>5956408*10.47/1000</f>
        <v>62363.591760000003</v>
      </c>
      <c r="BA19" s="40">
        <f>6829137*10.44/1000</f>
        <v>71296.190279999995</v>
      </c>
      <c r="BB19" s="40">
        <f>6478660*10.49/1000</f>
        <v>67961.143400000001</v>
      </c>
      <c r="BC19" s="40">
        <f>5989629*10.51/1000</f>
        <v>62951.000789999998</v>
      </c>
      <c r="BD19" s="47">
        <f>5137528*10.56/1000</f>
        <v>54252.295680000003</v>
      </c>
      <c r="BE19" s="40">
        <f>5005188*10.56/1000</f>
        <v>52854.785280000004</v>
      </c>
      <c r="BF19" s="40">
        <f>5935464*10.59/1000</f>
        <v>62856.563759999997</v>
      </c>
      <c r="BG19" s="41">
        <f>5546029*10.56/1000</f>
        <v>58566.06624</v>
      </c>
      <c r="BH19" s="40">
        <f>5399412*10.51/1000</f>
        <v>56747.820119999997</v>
      </c>
      <c r="BI19" s="40">
        <f>5585412*10.49/1000</f>
        <v>58590.971880000005</v>
      </c>
      <c r="BJ19" s="40">
        <f>6869713*10.5/1000</f>
        <v>72131.986499999999</v>
      </c>
      <c r="BK19" s="40">
        <f>6378523*10.56/1000</f>
        <v>67357.202880000012</v>
      </c>
      <c r="BL19" s="40">
        <f>6567745*10.53/1000</f>
        <v>69158.354849999989</v>
      </c>
      <c r="BM19" s="40">
        <f>5283868*10.54/1000</f>
        <v>55691.968719999997</v>
      </c>
      <c r="BN19" s="40">
        <f>7594157*10.48/1000</f>
        <v>79586.765360000005</v>
      </c>
      <c r="BO19" s="40">
        <f>6792612*10.48/1000</f>
        <v>71186.573759999999</v>
      </c>
      <c r="BP19" s="49">
        <f>6425518*10.46/1000</f>
        <v>67210.918279999998</v>
      </c>
      <c r="BQ19" s="49">
        <f>5950533*10.47/1000</f>
        <v>62302.080510000007</v>
      </c>
      <c r="BR19" s="49">
        <f>6019812*10.43/1000</f>
        <v>62786.639159999999</v>
      </c>
      <c r="BS19" s="49">
        <f>5773288*10.43/1000</f>
        <v>60215.393839999997</v>
      </c>
      <c r="BT19" s="49">
        <f>5802228*10.46/1000</f>
        <v>60691.304880000003</v>
      </c>
      <c r="BU19" s="49">
        <f>6372383*10.46/1000</f>
        <v>66655.126180000007</v>
      </c>
      <c r="BV19" s="49">
        <f>6356448*10.45/1000</f>
        <v>66424.881599999993</v>
      </c>
      <c r="BW19" s="49">
        <f>5550626*10.47/1000</f>
        <v>58115.054220000005</v>
      </c>
      <c r="BX19" s="70">
        <f>6447109*10.47/1000</f>
        <v>67501.231230000005</v>
      </c>
      <c r="BY19" s="70">
        <f>5422478*10.46/1000</f>
        <v>56719.119880000006</v>
      </c>
      <c r="BZ19" s="70">
        <f>5304774*10.54/1000</f>
        <v>55912.317959999993</v>
      </c>
      <c r="CA19" s="71">
        <f>5790540*10.49/1000</f>
        <v>60742.764600000002</v>
      </c>
      <c r="CB19" s="70">
        <f>6510450*10.57/1000</f>
        <v>68815.4565</v>
      </c>
      <c r="CC19" s="70">
        <f>5438623*10.66/1000</f>
        <v>57975.72118</v>
      </c>
      <c r="CD19" s="71">
        <f>5114690*10.66/1000</f>
        <v>54522.595399999998</v>
      </c>
      <c r="CE19" s="71">
        <f>5747258*10.65/1000</f>
        <v>61208.297700000003</v>
      </c>
      <c r="CF19" s="70">
        <f>5487036*10.7/1000</f>
        <v>58711.285199999998</v>
      </c>
      <c r="CG19" s="70">
        <f>5521421*10.68/1000</f>
        <v>58968.776279999998</v>
      </c>
      <c r="CH19" s="70">
        <f>5835134*10.59/1000</f>
        <v>61794.069060000002</v>
      </c>
    </row>
    <row r="20" spans="2:86" ht="19.5">
      <c r="B20" s="36" t="s">
        <v>27</v>
      </c>
      <c r="C20" s="37">
        <v>-2241.4550399999998</v>
      </c>
      <c r="D20" s="37">
        <v>6688.3083767191129</v>
      </c>
      <c r="E20" s="37">
        <v>-850.47439282595258</v>
      </c>
      <c r="F20" s="37">
        <v>6453.3858050340068</v>
      </c>
      <c r="G20" s="37">
        <v>409.52135132471295</v>
      </c>
      <c r="H20" s="37">
        <v>-608.84226633103174</v>
      </c>
      <c r="I20" s="37">
        <v>-3436.2480595046713</v>
      </c>
      <c r="J20" s="37">
        <v>-885.20214658255713</v>
      </c>
      <c r="K20" s="37">
        <v>95.259166269574223</v>
      </c>
      <c r="L20" s="37">
        <v>7805.6825634516808</v>
      </c>
      <c r="M20" s="37">
        <v>3006.7814914867718</v>
      </c>
      <c r="N20" s="37">
        <v>-489.9237641295183</v>
      </c>
      <c r="O20" s="37">
        <v>-2979.3801600000038</v>
      </c>
      <c r="P20" s="37">
        <v>-2855.0318299999981</v>
      </c>
      <c r="Q20" s="37">
        <v>-1200.4231499999985</v>
      </c>
      <c r="R20" s="37">
        <v>-2780.8724999999999</v>
      </c>
      <c r="S20" s="37">
        <v>2468.9473800000028</v>
      </c>
      <c r="T20" s="37">
        <v>-2276.2845000000002</v>
      </c>
      <c r="U20" s="37">
        <v>-4496.3205600000019</v>
      </c>
      <c r="V20" s="37">
        <v>-837.45255000000452</v>
      </c>
      <c r="W20" s="37">
        <v>-1099.7086599999964</v>
      </c>
      <c r="X20" s="37">
        <v>14321.159160000005</v>
      </c>
      <c r="Y20" s="37">
        <v>-561.30717000000175</v>
      </c>
      <c r="Z20" s="37">
        <v>-1098.1363200000003</v>
      </c>
      <c r="AA20" s="37">
        <v>-607.19024000000206</v>
      </c>
      <c r="AB20" s="37">
        <v>-5261.7525300000016</v>
      </c>
      <c r="AC20" s="37">
        <v>1430.6876799999998</v>
      </c>
      <c r="AD20" s="37">
        <v>-4094.6339499999954</v>
      </c>
      <c r="AE20" s="37">
        <v>-4164.3593999999985</v>
      </c>
      <c r="AF20" s="37">
        <v>-3097.4675000000002</v>
      </c>
      <c r="AG20" s="37">
        <v>8440.2560000000067</v>
      </c>
      <c r="AH20" s="37">
        <v>-12463.606079999998</v>
      </c>
      <c r="AI20" s="37">
        <v>3558.7145599999949</v>
      </c>
      <c r="AJ20" s="37">
        <v>10979.265780000009</v>
      </c>
      <c r="AK20" s="37">
        <v>-2220.0764399999975</v>
      </c>
      <c r="AL20" s="37">
        <v>11042.734449999996</v>
      </c>
      <c r="AM20" s="37">
        <v>-1663.2537300000042</v>
      </c>
      <c r="AN20" s="37">
        <v>-2569.7463299999981</v>
      </c>
      <c r="AO20" s="37">
        <v>-2313.4704799999968</v>
      </c>
      <c r="AP20" s="37">
        <v>1427.3759500000031</v>
      </c>
      <c r="AQ20" s="37">
        <v>-3832.8719599999936</v>
      </c>
      <c r="AR20" s="37">
        <v>-3158.3452999999972</v>
      </c>
      <c r="AS20" s="37">
        <v>-8509.4351200000019</v>
      </c>
      <c r="AT20" s="37">
        <v>-384.48431999999656</v>
      </c>
      <c r="AU20" s="37">
        <v>5572.3185000000003</v>
      </c>
      <c r="AV20" s="37">
        <v>10814.137350000001</v>
      </c>
      <c r="AW20" s="37">
        <v>1522.0313599999995</v>
      </c>
      <c r="AX20" s="37">
        <v>11428.203930000007</v>
      </c>
      <c r="AY20" s="37">
        <v>7386.1093400000009</v>
      </c>
      <c r="AZ20" s="37">
        <v>-8281.9582399999999</v>
      </c>
      <c r="BA20" s="37">
        <v>10976.562119999999</v>
      </c>
      <c r="BB20" s="37">
        <v>-3756.4892500000001</v>
      </c>
      <c r="BC20" s="37">
        <v>-4299.4194800000005</v>
      </c>
      <c r="BD20" s="37">
        <v>-9612.9686399999991</v>
      </c>
      <c r="BE20" s="37">
        <v>-1460.184</v>
      </c>
      <c r="BF20" s="37">
        <v>4200.1422599999996</v>
      </c>
      <c r="BG20" s="38">
        <v>1044.5204399999998</v>
      </c>
      <c r="BH20" s="37">
        <v>-992.89021000000002</v>
      </c>
      <c r="BI20" s="42">
        <v>807.34186999999997</v>
      </c>
      <c r="BJ20" s="37">
        <v>14791.0245</v>
      </c>
      <c r="BK20" s="37">
        <v>-5274.0758400000004</v>
      </c>
      <c r="BL20" s="37">
        <v>2218.4603999999999</v>
      </c>
      <c r="BM20" s="37">
        <v>-14247.866599999999</v>
      </c>
      <c r="BN20" s="37">
        <v>26109.148880000001</v>
      </c>
      <c r="BO20" s="37">
        <v>-8442.2450800000006</v>
      </c>
      <c r="BP20" s="37">
        <v>459.73791999999958</v>
      </c>
      <c r="BQ20" s="37">
        <v>-10661.137140000001</v>
      </c>
      <c r="BR20" s="37">
        <v>1212.95685</v>
      </c>
      <c r="BS20" s="37">
        <v>19.983880000000227</v>
      </c>
      <c r="BT20" s="37">
        <v>80.458320000000015</v>
      </c>
      <c r="BU20" s="37">
        <v>5129.2702999999992</v>
      </c>
      <c r="BV20" s="37">
        <v>806.66684999999995</v>
      </c>
      <c r="BW20" s="37">
        <v>-9759.4848600000005</v>
      </c>
      <c r="BX20" s="55">
        <v>9662.3860800000002</v>
      </c>
      <c r="BY20" s="55">
        <v>-12128.33862</v>
      </c>
      <c r="BZ20" s="55">
        <v>-220.11735999999996</v>
      </c>
      <c r="CA20" s="61">
        <v>5163.2094699999998</v>
      </c>
      <c r="CB20" s="55">
        <v>7677.7626099999998</v>
      </c>
      <c r="CC20" s="55">
        <v>-11993.20356</v>
      </c>
      <c r="CD20" s="61">
        <v>-3525.4858599999998</v>
      </c>
      <c r="CE20" s="61">
        <v>7113.7739999999994</v>
      </c>
      <c r="CF20" s="55">
        <v>-2667.3923</v>
      </c>
      <c r="CG20" s="55">
        <v>1202.90976</v>
      </c>
      <c r="CH20" s="55">
        <v>2364.6934500000002</v>
      </c>
    </row>
    <row r="21" spans="2:86" s="11" customFormat="1" ht="18.75">
      <c r="B21" s="39" t="s">
        <v>32</v>
      </c>
      <c r="C21" s="40">
        <v>19432.50144</v>
      </c>
      <c r="D21" s="40">
        <v>16971.70464</v>
      </c>
      <c r="E21" s="40">
        <v>10455.931200000001</v>
      </c>
      <c r="F21" s="40">
        <v>9417.988800000001</v>
      </c>
      <c r="G21" s="40">
        <v>5494.5580799999998</v>
      </c>
      <c r="H21" s="40">
        <v>5063.8579200000004</v>
      </c>
      <c r="I21" s="40">
        <v>0.17952000000000001</v>
      </c>
      <c r="J21" s="40">
        <v>0.31680000000000003</v>
      </c>
      <c r="K21" s="40">
        <v>4025.8944000000006</v>
      </c>
      <c r="L21" s="40">
        <v>7660.3507200000004</v>
      </c>
      <c r="M21" s="40">
        <v>14646.60384</v>
      </c>
      <c r="N21" s="40">
        <v>14911.733759999999</v>
      </c>
      <c r="O21" s="40">
        <v>17001.106640000002</v>
      </c>
      <c r="P21" s="40">
        <v>14993.18916</v>
      </c>
      <c r="Q21" s="40">
        <v>13788.444130000002</v>
      </c>
      <c r="R21" s="40">
        <v>8598.8029499999993</v>
      </c>
      <c r="S21" s="40">
        <v>4811.6350000000002</v>
      </c>
      <c r="T21" s="40">
        <v>2394.2710000000002</v>
      </c>
      <c r="U21" s="40">
        <v>3104.0790000000002</v>
      </c>
      <c r="V21" s="40">
        <v>2618.7147599999998</v>
      </c>
      <c r="W21" s="40">
        <v>4598.7823200000003</v>
      </c>
      <c r="X21" s="40">
        <v>7966.3342999999995</v>
      </c>
      <c r="Y21" s="40">
        <v>11640.19441</v>
      </c>
      <c r="Z21" s="40">
        <v>16917.539840000001</v>
      </c>
      <c r="AA21" s="40">
        <v>14921.60857</v>
      </c>
      <c r="AB21" s="40">
        <v>17016.29999</v>
      </c>
      <c r="AC21" s="40">
        <v>16960.306260000001</v>
      </c>
      <c r="AD21" s="40">
        <v>5106.6899999999996</v>
      </c>
      <c r="AE21" s="40">
        <v>4571.0050610000008</v>
      </c>
      <c r="AF21" s="40">
        <v>105.709</v>
      </c>
      <c r="AG21" s="40">
        <v>4518.7151100000001</v>
      </c>
      <c r="AH21" s="40">
        <v>3009.7624500000002</v>
      </c>
      <c r="AI21" s="40">
        <v>4104.6369599999998</v>
      </c>
      <c r="AJ21" s="40">
        <v>6134.0280000000002</v>
      </c>
      <c r="AK21" s="40">
        <v>11112.092000000001</v>
      </c>
      <c r="AL21" s="40">
        <v>16226.966</v>
      </c>
      <c r="AM21" s="40">
        <v>16310.457</v>
      </c>
      <c r="AN21" s="40">
        <v>16071.964</v>
      </c>
      <c r="AO21" s="40">
        <v>11525.386</v>
      </c>
      <c r="AP21" s="40">
        <v>5457.9840000000004</v>
      </c>
      <c r="AQ21" s="40">
        <v>6300.8540000000003</v>
      </c>
      <c r="AR21" s="40">
        <v>4799.99</v>
      </c>
      <c r="AS21" s="40">
        <v>4568.0630000000001</v>
      </c>
      <c r="AT21" s="40">
        <v>3902.0549999999998</v>
      </c>
      <c r="AU21" s="40">
        <v>5555.0929999999998</v>
      </c>
      <c r="AV21" s="40">
        <v>6679</v>
      </c>
      <c r="AW21" s="40">
        <v>9962</v>
      </c>
      <c r="AX21" s="40">
        <v>3827</v>
      </c>
      <c r="AY21" s="40">
        <v>41818</v>
      </c>
      <c r="AZ21" s="40">
        <v>39806</v>
      </c>
      <c r="BA21" s="40">
        <v>34303</v>
      </c>
      <c r="BB21" s="40">
        <v>37977</v>
      </c>
      <c r="BC21" s="40">
        <v>4611</v>
      </c>
      <c r="BD21" s="47">
        <v>20199.220788655999</v>
      </c>
      <c r="BE21" s="40">
        <v>18438</v>
      </c>
      <c r="BF21" s="40">
        <v>2443</v>
      </c>
      <c r="BG21" s="41">
        <v>4745</v>
      </c>
      <c r="BH21" s="40">
        <v>2071.2217691030896</v>
      </c>
      <c r="BI21" s="40">
        <v>9336.3304881000004</v>
      </c>
      <c r="BJ21" s="40">
        <v>9660.2101208400036</v>
      </c>
      <c r="BK21" s="40">
        <v>13693</v>
      </c>
      <c r="BL21" s="40">
        <v>15644</v>
      </c>
      <c r="BM21" s="40">
        <v>7411</v>
      </c>
      <c r="BN21" s="40">
        <v>7438</v>
      </c>
      <c r="BO21" s="40">
        <v>1680</v>
      </c>
      <c r="BP21" s="40">
        <v>115</v>
      </c>
      <c r="BQ21" s="40">
        <v>1</v>
      </c>
      <c r="BR21" s="40">
        <v>2170</v>
      </c>
      <c r="BS21" s="40">
        <v>4243</v>
      </c>
      <c r="BT21" s="40">
        <v>11050</v>
      </c>
      <c r="BU21" s="40">
        <v>25512</v>
      </c>
      <c r="BV21" s="40">
        <v>11312</v>
      </c>
      <c r="BW21" s="40">
        <v>34195</v>
      </c>
      <c r="BX21" s="56">
        <v>5309</v>
      </c>
      <c r="BY21" s="56">
        <v>8261</v>
      </c>
      <c r="BZ21" s="56">
        <v>13096</v>
      </c>
      <c r="CA21" s="62">
        <v>775</v>
      </c>
      <c r="CB21" s="56">
        <v>21136</v>
      </c>
      <c r="CC21" s="56">
        <v>18732</v>
      </c>
      <c r="CD21" s="62">
        <v>19034</v>
      </c>
      <c r="CE21" s="62">
        <v>19852</v>
      </c>
      <c r="CF21" s="56">
        <v>15286</v>
      </c>
      <c r="CG21" s="56">
        <v>19026</v>
      </c>
      <c r="CH21" s="56">
        <v>21424</v>
      </c>
    </row>
    <row r="22" spans="2:86" s="11" customFormat="1" ht="18.75">
      <c r="B22" s="39" t="s">
        <v>33</v>
      </c>
      <c r="C22" s="40">
        <v>52498.649279999998</v>
      </c>
      <c r="D22" s="40">
        <v>27007.073280000001</v>
      </c>
      <c r="E22" s="40">
        <v>29682.523200000003</v>
      </c>
      <c r="F22" s="40">
        <v>18408.709440000002</v>
      </c>
      <c r="G22" s="40">
        <v>10844.106240000001</v>
      </c>
      <c r="H22" s="40">
        <v>11591.236800000001</v>
      </c>
      <c r="I22" s="40">
        <v>8914.0867200000012</v>
      </c>
      <c r="J22" s="40">
        <v>15526.103999999999</v>
      </c>
      <c r="K22" s="40">
        <v>15608.714880000001</v>
      </c>
      <c r="L22" s="40">
        <v>20203.170240000003</v>
      </c>
      <c r="M22" s="40">
        <v>27277.979520000001</v>
      </c>
      <c r="N22" s="40">
        <v>27800.55168</v>
      </c>
      <c r="O22" s="40">
        <v>41631.705679999999</v>
      </c>
      <c r="P22" s="40">
        <v>38990.973340000004</v>
      </c>
      <c r="Q22" s="40">
        <v>29922.263440000002</v>
      </c>
      <c r="R22" s="40">
        <v>18628.252683332998</v>
      </c>
      <c r="S22" s="40">
        <v>15173.162</v>
      </c>
      <c r="T22" s="40">
        <v>11328.698</v>
      </c>
      <c r="U22" s="40">
        <v>9077.86</v>
      </c>
      <c r="V22" s="40">
        <v>8517.6939199999997</v>
      </c>
      <c r="W22" s="40">
        <v>11696.941860000001</v>
      </c>
      <c r="X22" s="40">
        <v>22997.808080000003</v>
      </c>
      <c r="Y22" s="40">
        <v>22793.335280000003</v>
      </c>
      <c r="Z22" s="40">
        <v>22525.366959999999</v>
      </c>
      <c r="AA22" s="40">
        <v>32052.949649999999</v>
      </c>
      <c r="AB22" s="40">
        <v>48615.652679999999</v>
      </c>
      <c r="AC22" s="40">
        <v>38586.846810000003</v>
      </c>
      <c r="AD22" s="40">
        <v>24313.984</v>
      </c>
      <c r="AE22" s="40">
        <v>13561.786871</v>
      </c>
      <c r="AF22" s="40">
        <v>10456.438</v>
      </c>
      <c r="AG22" s="40">
        <v>14389.358</v>
      </c>
      <c r="AH22" s="40">
        <v>8360.597960000001</v>
      </c>
      <c r="AI22" s="40">
        <v>15001.672759999999</v>
      </c>
      <c r="AJ22" s="40">
        <v>25431.322</v>
      </c>
      <c r="AK22" s="40">
        <v>27104.629000000001</v>
      </c>
      <c r="AL22" s="40">
        <v>30278.245999999999</v>
      </c>
      <c r="AM22" s="40">
        <v>35490.817999999999</v>
      </c>
      <c r="AN22" s="40">
        <v>26144.55</v>
      </c>
      <c r="AO22" s="40">
        <v>26280.185000000001</v>
      </c>
      <c r="AP22" s="40">
        <v>19868.008000000002</v>
      </c>
      <c r="AQ22" s="40">
        <v>13679.312</v>
      </c>
      <c r="AR22" s="40">
        <v>8474.3160000000007</v>
      </c>
      <c r="AS22" s="40">
        <v>6653.8879999999999</v>
      </c>
      <c r="AT22" s="40">
        <v>12480.276</v>
      </c>
      <c r="AU22" s="40">
        <v>13652.499</v>
      </c>
      <c r="AV22" s="40">
        <v>18934</v>
      </c>
      <c r="AW22" s="40">
        <v>24934</v>
      </c>
      <c r="AX22" s="40">
        <v>31130</v>
      </c>
      <c r="AY22" s="40">
        <v>51553</v>
      </c>
      <c r="AZ22" s="40">
        <v>54687</v>
      </c>
      <c r="BA22" s="40">
        <v>54435</v>
      </c>
      <c r="BB22" s="40">
        <v>47959</v>
      </c>
      <c r="BC22" s="40">
        <v>25236</v>
      </c>
      <c r="BD22" s="47">
        <v>33283.200377699999</v>
      </c>
      <c r="BE22" s="40">
        <v>28667</v>
      </c>
      <c r="BF22" s="40">
        <v>17066</v>
      </c>
      <c r="BG22" s="41">
        <v>12083</v>
      </c>
      <c r="BH22" s="40">
        <v>31137.439002472191</v>
      </c>
      <c r="BI22" s="40">
        <v>19538.175158540005</v>
      </c>
      <c r="BJ22" s="40">
        <v>30353.525922330005</v>
      </c>
      <c r="BK22" s="40">
        <v>36550</v>
      </c>
      <c r="BL22" s="40">
        <v>39307</v>
      </c>
      <c r="BM22" s="40">
        <v>30802</v>
      </c>
      <c r="BN22" s="40">
        <v>23703</v>
      </c>
      <c r="BO22" s="40">
        <v>17939</v>
      </c>
      <c r="BP22" s="40">
        <v>12233</v>
      </c>
      <c r="BQ22" s="47">
        <v>12841</v>
      </c>
      <c r="BR22" s="40">
        <v>11434</v>
      </c>
      <c r="BS22" s="40">
        <v>17888</v>
      </c>
      <c r="BT22" s="40">
        <v>28586</v>
      </c>
      <c r="BU22" s="40">
        <v>65009</v>
      </c>
      <c r="BV22" s="40">
        <v>70327</v>
      </c>
      <c r="BW22" s="40">
        <v>78905</v>
      </c>
      <c r="BX22" s="56">
        <v>79941</v>
      </c>
      <c r="BY22" s="56">
        <v>21492</v>
      </c>
      <c r="BZ22" s="56">
        <v>33251</v>
      </c>
      <c r="CA22" s="62">
        <v>36403</v>
      </c>
      <c r="CB22" s="56">
        <v>41529</v>
      </c>
      <c r="CC22" s="56">
        <v>32447</v>
      </c>
      <c r="CD22" s="62">
        <v>34913</v>
      </c>
      <c r="CE22" s="62">
        <v>33842</v>
      </c>
      <c r="CF22" s="56">
        <v>27091</v>
      </c>
      <c r="CG22" s="56">
        <v>54904</v>
      </c>
      <c r="CH22" s="56">
        <v>67113</v>
      </c>
    </row>
    <row r="23" spans="2:86" ht="17.25"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46"/>
      <c r="BE23" s="45"/>
      <c r="BF23" s="37"/>
      <c r="BG23" s="50"/>
      <c r="BH23" s="50"/>
      <c r="BI23" s="50"/>
      <c r="BJ23" s="37"/>
      <c r="BK23" s="50"/>
      <c r="BL23" s="50"/>
      <c r="BM23" s="50"/>
      <c r="BN23" s="37"/>
      <c r="BO23" s="51"/>
      <c r="BP23" s="37"/>
      <c r="BQ23" s="46"/>
      <c r="BR23" s="37"/>
      <c r="BS23" s="37"/>
      <c r="BT23" s="37"/>
      <c r="BU23" s="37"/>
      <c r="BV23" s="37"/>
      <c r="BZ23" s="5"/>
    </row>
    <row r="24" spans="2:86" ht="19.5">
      <c r="B24" s="36" t="s"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ref="O24:AT24" si="16">O3/C3-1</f>
        <v>-0.28598500179806963</v>
      </c>
      <c r="P24" s="53">
        <f t="shared" si="16"/>
        <v>4.0516758797212171E-2</v>
      </c>
      <c r="Q24" s="53">
        <f t="shared" si="16"/>
        <v>-3.7273894462553581E-2</v>
      </c>
      <c r="R24" s="53">
        <f t="shared" si="16"/>
        <v>4.8336957107993461E-2</v>
      </c>
      <c r="S24" s="53">
        <f t="shared" si="16"/>
        <v>0.28542162341447752</v>
      </c>
      <c r="T24" s="53">
        <f t="shared" si="16"/>
        <v>-4.1468318659507841E-2</v>
      </c>
      <c r="U24" s="53">
        <f t="shared" si="16"/>
        <v>9.0107171433269295E-2</v>
      </c>
      <c r="V24" s="53">
        <f t="shared" si="16"/>
        <v>0.12019618570218071</v>
      </c>
      <c r="W24" s="53">
        <f t="shared" si="16"/>
        <v>0.19254601019719031</v>
      </c>
      <c r="X24" s="53">
        <f t="shared" si="16"/>
        <v>-5.293497782865475E-2</v>
      </c>
      <c r="Y24" s="53">
        <f t="shared" si="16"/>
        <v>-0.14790992221013277</v>
      </c>
      <c r="Z24" s="53">
        <f t="shared" si="16"/>
        <v>-6.1384956796255552E-2</v>
      </c>
      <c r="AA24" s="53">
        <f t="shared" si="16"/>
        <v>-4.8855024055258101E-2</v>
      </c>
      <c r="AB24" s="53">
        <f t="shared" si="16"/>
        <v>0.14901499628383474</v>
      </c>
      <c r="AC24" s="53">
        <f t="shared" si="16"/>
        <v>0.26176129299095052</v>
      </c>
      <c r="AD24" s="53">
        <f t="shared" si="16"/>
        <v>-0.13581370677059379</v>
      </c>
      <c r="AE24" s="53">
        <f t="shared" si="16"/>
        <v>-0.27733865033454197</v>
      </c>
      <c r="AF24" s="53">
        <f t="shared" si="16"/>
        <v>1.3745153356933271E-2</v>
      </c>
      <c r="AG24" s="53">
        <f t="shared" si="16"/>
        <v>3.6431861985728675E-2</v>
      </c>
      <c r="AH24" s="53">
        <f t="shared" si="16"/>
        <v>-0.12194458603456537</v>
      </c>
      <c r="AI24" s="53">
        <f t="shared" si="16"/>
        <v>-0.13646308240633453</v>
      </c>
      <c r="AJ24" s="53">
        <f t="shared" si="16"/>
        <v>-0.13385994875326701</v>
      </c>
      <c r="AK24" s="53">
        <f t="shared" si="16"/>
        <v>-6.7774284267495988E-2</v>
      </c>
      <c r="AL24" s="53">
        <f t="shared" si="16"/>
        <v>0.12590883323157831</v>
      </c>
      <c r="AM24" s="53">
        <f t="shared" si="16"/>
        <v>0.11297207672794496</v>
      </c>
      <c r="AN24" s="53">
        <f t="shared" si="16"/>
        <v>-0.27443853421245035</v>
      </c>
      <c r="AO24" s="53">
        <f t="shared" si="16"/>
        <v>-0.26539995122519011</v>
      </c>
      <c r="AP24" s="53">
        <f t="shared" si="16"/>
        <v>-9.4304947885345047E-2</v>
      </c>
      <c r="AQ24" s="53">
        <f t="shared" si="16"/>
        <v>0.2580668963720405</v>
      </c>
      <c r="AR24" s="53">
        <f t="shared" si="16"/>
        <v>-9.0957024449320079E-2</v>
      </c>
      <c r="AS24" s="53">
        <f t="shared" si="16"/>
        <v>-7.9975510050833365E-2</v>
      </c>
      <c r="AT24" s="53">
        <f t="shared" si="16"/>
        <v>0.14049726434378851</v>
      </c>
      <c r="AU24" s="53">
        <f t="shared" ref="AU24:CH24" si="17">AU3/AI3-1</f>
        <v>0.16100362135393009</v>
      </c>
      <c r="AV24" s="53">
        <f t="shared" si="17"/>
        <v>-4.4821376802785862E-2</v>
      </c>
      <c r="AW24" s="53">
        <f t="shared" si="17"/>
        <v>-3.4129168659907005E-2</v>
      </c>
      <c r="AX24" s="53">
        <f t="shared" si="17"/>
        <v>-0.15437843844103449</v>
      </c>
      <c r="AY24" s="53">
        <f t="shared" si="17"/>
        <v>0.84468705193153237</v>
      </c>
      <c r="AZ24" s="53">
        <f t="shared" si="17"/>
        <v>1.3960780066609635</v>
      </c>
      <c r="BA24" s="53">
        <f t="shared" si="17"/>
        <v>1.5955508348531802</v>
      </c>
      <c r="BB24" s="53">
        <f t="shared" si="17"/>
        <v>2.558413498298771</v>
      </c>
      <c r="BC24" s="53">
        <f t="shared" si="17"/>
        <v>1.0716961047960347</v>
      </c>
      <c r="BD24" s="53">
        <f t="shared" si="17"/>
        <v>4.0653984154775413</v>
      </c>
      <c r="BE24" s="53">
        <f t="shared" si="17"/>
        <v>3.1057823118090875</v>
      </c>
      <c r="BF24" s="53">
        <f t="shared" si="17"/>
        <v>0.1558216194423947</v>
      </c>
      <c r="BG24" s="53">
        <f t="shared" si="17"/>
        <v>2.6475629576522022</v>
      </c>
      <c r="BH24" s="53">
        <f t="shared" si="17"/>
        <v>2.2414754968617858</v>
      </c>
      <c r="BI24" s="53">
        <f t="shared" si="17"/>
        <v>1.6683607189279144</v>
      </c>
      <c r="BJ24" s="53">
        <f t="shared" si="17"/>
        <v>1.6857196371990146</v>
      </c>
      <c r="BK24" s="53">
        <f t="shared" si="17"/>
        <v>0.12583432420575424</v>
      </c>
      <c r="BL24" s="53">
        <f t="shared" si="17"/>
        <v>0.15285080245619054</v>
      </c>
      <c r="BM24" s="53">
        <f t="shared" si="17"/>
        <v>-4.1565054272944435E-2</v>
      </c>
      <c r="BN24" s="53">
        <f t="shared" si="17"/>
        <v>2.8351733951762714E-2</v>
      </c>
      <c r="BO24" s="53">
        <f t="shared" si="17"/>
        <v>-0.25185739744803093</v>
      </c>
      <c r="BP24" s="53">
        <f t="shared" si="17"/>
        <v>-0.4470948185742557</v>
      </c>
      <c r="BQ24" s="53">
        <f t="shared" si="17"/>
        <v>-0.57395555394730491</v>
      </c>
      <c r="BR24" s="53">
        <f t="shared" si="17"/>
        <v>1.5726772068979278</v>
      </c>
      <c r="BS24" s="53">
        <f t="shared" si="17"/>
        <v>-0.3146959569930825</v>
      </c>
      <c r="BT24" s="53">
        <f t="shared" si="17"/>
        <v>-0.46195300949401763</v>
      </c>
      <c r="BU24" s="53">
        <f t="shared" si="17"/>
        <v>-9.8867800042630849E-2</v>
      </c>
      <c r="BV24" s="53">
        <f t="shared" si="17"/>
        <v>-0.24962719328129868</v>
      </c>
      <c r="BW24" s="53">
        <f t="shared" si="17"/>
        <v>3.1138057939690933E-2</v>
      </c>
      <c r="BX24" s="72">
        <f t="shared" si="17"/>
        <v>-0.19044911494401739</v>
      </c>
      <c r="BY24" s="72">
        <f t="shared" si="17"/>
        <v>-0.47209410658405915</v>
      </c>
      <c r="BZ24" s="72">
        <f t="shared" si="17"/>
        <v>-0.4528447652533929</v>
      </c>
      <c r="CA24" s="72">
        <f t="shared" si="17"/>
        <v>0.37344980496142099</v>
      </c>
      <c r="CB24" s="72">
        <f t="shared" si="17"/>
        <v>1.0233009844116943</v>
      </c>
      <c r="CC24" s="72">
        <f t="shared" si="17"/>
        <v>1.6418263341710877</v>
      </c>
      <c r="CD24" s="72">
        <f t="shared" si="17"/>
        <v>0.40990084548000438</v>
      </c>
      <c r="CE24" s="72">
        <f t="shared" si="17"/>
        <v>0.28931065781873366</v>
      </c>
      <c r="CF24" s="72">
        <f t="shared" si="17"/>
        <v>1.2368831292010496E-2</v>
      </c>
      <c r="CG24" s="72">
        <f t="shared" si="17"/>
        <v>-0.15997336636838877</v>
      </c>
      <c r="CH24" s="72">
        <f t="shared" si="17"/>
        <v>0.17965951728690444</v>
      </c>
    </row>
    <row r="25" spans="2:86" ht="19.5">
      <c r="B25" s="36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ref="O25:Z25" si="18">O12/C12-1</f>
        <v>-0.28447389233873766</v>
      </c>
      <c r="P25" s="53">
        <f t="shared" si="18"/>
        <v>5.6134300404354631E-2</v>
      </c>
      <c r="Q25" s="53">
        <f t="shared" si="18"/>
        <v>-3.5401255286699573E-2</v>
      </c>
      <c r="R25" s="53">
        <f t="shared" si="18"/>
        <v>7.0555862261874047E-2</v>
      </c>
      <c r="S25" s="53">
        <f t="shared" si="18"/>
        <v>0.27632235982521314</v>
      </c>
      <c r="T25" s="53">
        <f t="shared" si="18"/>
        <v>-3.2938071252859413E-2</v>
      </c>
      <c r="U25" s="53">
        <f t="shared" si="18"/>
        <v>8.9159648341916142E-2</v>
      </c>
      <c r="V25" s="53">
        <f t="shared" si="18"/>
        <v>0.12274518229347198</v>
      </c>
      <c r="W25" s="53">
        <f t="shared" si="18"/>
        <v>0.19634209244893785</v>
      </c>
      <c r="X25" s="53">
        <f t="shared" si="18"/>
        <v>-7.2156217172717696E-2</v>
      </c>
      <c r="Y25" s="53">
        <f t="shared" si="18"/>
        <v>-0.14340683724376346</v>
      </c>
      <c r="Z25" s="53">
        <f t="shared" si="18"/>
        <v>-5.9571844625022852E-2</v>
      </c>
      <c r="AA25" s="53">
        <f t="shared" ref="AA25:AL25" si="19">AA12/O12-1</f>
        <v>-5.3057682931031191E-2</v>
      </c>
      <c r="AB25" s="53">
        <f t="shared" si="19"/>
        <v>0.15198103340378855</v>
      </c>
      <c r="AC25" s="53">
        <f t="shared" si="19"/>
        <v>0.25621608629239034</v>
      </c>
      <c r="AD25" s="53">
        <f t="shared" si="19"/>
        <v>-0.13536216901541009</v>
      </c>
      <c r="AE25" s="53">
        <f t="shared" si="19"/>
        <v>-0.26591893601246552</v>
      </c>
      <c r="AF25" s="53">
        <f t="shared" si="19"/>
        <v>1.284595185824533E-2</v>
      </c>
      <c r="AG25" s="53">
        <f t="shared" si="19"/>
        <v>-3.3477741047441723E-2</v>
      </c>
      <c r="AH25" s="53">
        <f t="shared" si="19"/>
        <v>-7.8842238168322254E-2</v>
      </c>
      <c r="AI25" s="53">
        <f t="shared" si="19"/>
        <v>-0.15219868286994787</v>
      </c>
      <c r="AJ25" s="53">
        <f t="shared" si="19"/>
        <v>-0.1269240426197914</v>
      </c>
      <c r="AK25" s="53">
        <f t="shared" si="19"/>
        <v>-6.5471113149774718E-2</v>
      </c>
      <c r="AL25" s="53">
        <f t="shared" si="19"/>
        <v>0.11304214907509835</v>
      </c>
      <c r="AM25" s="53">
        <f t="shared" ref="AM25" si="20">AM12/AA12-1</f>
        <v>0.11269870612315391</v>
      </c>
      <c r="AN25" s="53">
        <f t="shared" ref="AN25:AO25" si="21">AN12/AB12-1</f>
        <v>-0.2771925566568828</v>
      </c>
      <c r="AO25" s="53">
        <f t="shared" si="21"/>
        <v>-0.2639921864188296</v>
      </c>
      <c r="AP25" s="53">
        <f t="shared" ref="AP25" si="22">AP12/AD12-1</f>
        <v>-0.10290012679769034</v>
      </c>
      <c r="AQ25" s="53">
        <f t="shared" ref="AQ25" si="23">AQ12/AE12-1</f>
        <v>0.24862380961729746</v>
      </c>
      <c r="AR25" s="53">
        <f t="shared" ref="AR25" si="24">AR12/AF12-1</f>
        <v>-8.0338840775260767E-2</v>
      </c>
      <c r="AS25" s="53">
        <f t="shared" ref="AS25" si="25">AS12/AG12-1</f>
        <v>1.2149264824649508E-2</v>
      </c>
      <c r="AT25" s="53">
        <f t="shared" ref="AT25" si="26">AT12/AH12-1</f>
        <v>8.4715026285630435E-2</v>
      </c>
      <c r="AU25" s="53">
        <f t="shared" ref="AU25" si="27">AU12/AI12-1</f>
        <v>0.14515967223722437</v>
      </c>
      <c r="AV25" s="53">
        <f t="shared" ref="AV25" si="28">AV12/AJ12-1</f>
        <v>-5.3151116590196779E-2</v>
      </c>
      <c r="AW25" s="53">
        <f t="shared" ref="AW25" si="29">AW12/AK12-1</f>
        <v>-3.9012927167765943E-2</v>
      </c>
      <c r="AX25" s="53">
        <f t="shared" ref="AX25" si="30">AX12/AL12-1</f>
        <v>-0.16369968039043792</v>
      </c>
      <c r="AY25" s="53">
        <f t="shared" ref="AY25" si="31">AY12/AM12-1</f>
        <v>-0.28198746728184232</v>
      </c>
      <c r="AZ25" s="53">
        <f t="shared" ref="AZ25" si="32">AZ12/AN12-1</f>
        <v>-5.2502290784487204E-2</v>
      </c>
      <c r="BA25" s="53">
        <f t="shared" ref="BA25" si="33">BA12/AO12-1</f>
        <v>-6.1346134867912627E-2</v>
      </c>
      <c r="BB25" s="53">
        <f t="shared" ref="BB25" si="34">BB12/AP12-1</f>
        <v>0.12338809361956882</v>
      </c>
      <c r="BC25" s="53">
        <f t="shared" ref="BC25:BM25" si="35">BC12/AQ12-1</f>
        <v>2.2169811955868202E-2</v>
      </c>
      <c r="BD25" s="53">
        <f t="shared" si="35"/>
        <v>7.7520568274712653E-2</v>
      </c>
      <c r="BE25" s="53">
        <f t="shared" si="35"/>
        <v>-3.9791925424287999E-2</v>
      </c>
      <c r="BF25" s="53">
        <f t="shared" si="35"/>
        <v>-4.4710166400307783E-2</v>
      </c>
      <c r="BG25" s="53">
        <f t="shared" si="35"/>
        <v>-1.5974595043998452E-2</v>
      </c>
      <c r="BH25" s="53">
        <f t="shared" si="35"/>
        <v>-0.1443819242787544</v>
      </c>
      <c r="BI25" s="53">
        <f t="shared" si="35"/>
        <v>-9.3086807158588414E-2</v>
      </c>
      <c r="BJ25" s="53">
        <f t="shared" si="35"/>
        <v>8.4968911987424178E-2</v>
      </c>
      <c r="BK25" s="53">
        <f t="shared" si="35"/>
        <v>0.24218740602719091</v>
      </c>
      <c r="BL25" s="53">
        <f t="shared" si="35"/>
        <v>0.4004449219346935</v>
      </c>
      <c r="BM25" s="53">
        <f t="shared" si="35"/>
        <v>9.4830103839002922E-2</v>
      </c>
      <c r="BN25" s="53">
        <f t="shared" ref="BN25:BW25" si="36">BN12/BB12-1</f>
        <v>-1.6577205988675292E-2</v>
      </c>
      <c r="BO25" s="53">
        <f t="shared" si="36"/>
        <v>4.9772788673174695E-4</v>
      </c>
      <c r="BP25" s="53">
        <f t="shared" si="36"/>
        <v>-7.2335670338842251E-2</v>
      </c>
      <c r="BQ25" s="53">
        <f t="shared" si="36"/>
        <v>-8.7577576137467972E-2</v>
      </c>
      <c r="BR25" s="53">
        <f t="shared" si="36"/>
        <v>7.9449431870138421E-2</v>
      </c>
      <c r="BS25" s="53">
        <f t="shared" si="36"/>
        <v>0.1407756535257938</v>
      </c>
      <c r="BT25" s="53">
        <f t="shared" si="36"/>
        <v>2.5617026099221674E-2</v>
      </c>
      <c r="BU25" s="53">
        <f t="shared" si="36"/>
        <v>4.6927246339416362E-2</v>
      </c>
      <c r="BV25" s="53">
        <f t="shared" si="36"/>
        <v>0.24425347422838284</v>
      </c>
      <c r="BW25" s="53">
        <f t="shared" si="36"/>
        <v>-7.1440482001307481E-2</v>
      </c>
      <c r="BX25" s="72">
        <f t="shared" ref="BX25" si="37">BX12/BL12-1</f>
        <v>-0.30984085701223674</v>
      </c>
      <c r="BY25" s="72">
        <f t="shared" ref="BY25" si="38">BY12/BM12-1</f>
        <v>-0.14889392782299227</v>
      </c>
      <c r="BZ25" s="72">
        <f t="shared" ref="BZ25:CH25" si="39">BZ12/BN12-1</f>
        <v>-0.15222693739739235</v>
      </c>
      <c r="CA25" s="72">
        <f t="shared" si="39"/>
        <v>-0.21175976140816943</v>
      </c>
      <c r="CB25" s="72">
        <f t="shared" si="39"/>
        <v>-0.13310823272600858</v>
      </c>
      <c r="CC25" s="72">
        <f t="shared" si="39"/>
        <v>-0.20292455916746099</v>
      </c>
      <c r="CD25" s="72">
        <f t="shared" si="39"/>
        <v>-0.34278889290518455</v>
      </c>
      <c r="CE25" s="72">
        <f t="shared" si="39"/>
        <v>-0.40880260123284173</v>
      </c>
      <c r="CF25" s="72">
        <f t="shared" si="39"/>
        <v>-0.37884740600413336</v>
      </c>
      <c r="CG25" s="72">
        <f t="shared" si="39"/>
        <v>-0.29342476059521994</v>
      </c>
      <c r="CH25" s="72">
        <f t="shared" si="39"/>
        <v>-0.40738956598768239</v>
      </c>
    </row>
    <row r="26" spans="2:86" ht="17.25">
      <c r="B26" s="36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f t="shared" ref="O26:Z26" si="40">O9/C9-1</f>
        <v>-1</v>
      </c>
      <c r="P26" s="53">
        <f t="shared" si="40"/>
        <v>-0.98803677245649624</v>
      </c>
      <c r="Q26" s="53">
        <f t="shared" si="40"/>
        <v>-1</v>
      </c>
      <c r="R26" s="53">
        <f t="shared" si="40"/>
        <v>-1</v>
      </c>
      <c r="S26" s="53">
        <f t="shared" si="40"/>
        <v>0.38676455744804117</v>
      </c>
      <c r="T26" s="53">
        <f t="shared" si="40"/>
        <v>-0.75268808530139908</v>
      </c>
      <c r="U26" s="53">
        <f t="shared" si="40"/>
        <v>-0.73876340310786137</v>
      </c>
      <c r="V26" s="53">
        <f t="shared" si="40"/>
        <v>-0.49970473975717933</v>
      </c>
      <c r="W26" s="53">
        <f t="shared" si="40"/>
        <v>-1.1325875995113366E-2</v>
      </c>
      <c r="X26" s="53">
        <f t="shared" si="40"/>
        <v>4.7720431160455874</v>
      </c>
      <c r="Y26" s="53">
        <f t="shared" si="40"/>
        <v>38.727201599947477</v>
      </c>
      <c r="Z26" s="53" t="e">
        <f t="shared" si="40"/>
        <v>#DIV/0!</v>
      </c>
      <c r="AA26" s="53" t="e">
        <f t="shared" ref="AA26:AL26" si="41">AA9/O9-1</f>
        <v>#DIV/0!</v>
      </c>
      <c r="AB26" s="53">
        <f t="shared" si="41"/>
        <v>5.5162174224757772</v>
      </c>
      <c r="AC26" s="53" t="e">
        <f t="shared" si="41"/>
        <v>#DIV/0!</v>
      </c>
      <c r="AD26" s="53" t="e">
        <f t="shared" si="41"/>
        <v>#DIV/0!</v>
      </c>
      <c r="AE26" s="53">
        <f t="shared" si="41"/>
        <v>-0.90850068288725294</v>
      </c>
      <c r="AF26" s="53">
        <f t="shared" si="41"/>
        <v>-0.11968605489289386</v>
      </c>
      <c r="AG26" s="53">
        <f t="shared" si="41"/>
        <v>1.8430246502553738</v>
      </c>
      <c r="AH26" s="53">
        <f t="shared" si="41"/>
        <v>0.65614539050311826</v>
      </c>
      <c r="AI26" s="53">
        <f t="shared" si="41"/>
        <v>-6.6293091844451424E-2</v>
      </c>
      <c r="AJ26" s="53">
        <f t="shared" si="41"/>
        <v>-0.45556876299981452</v>
      </c>
      <c r="AK26" s="53">
        <f t="shared" si="41"/>
        <v>1.8349637477013823</v>
      </c>
      <c r="AL26" s="53">
        <f t="shared" si="41"/>
        <v>1.8432374005835155</v>
      </c>
      <c r="AM26" s="53">
        <f t="shared" ref="AM26" si="42">AM9/AA9-1</f>
        <v>4.1331282268037839E-3</v>
      </c>
      <c r="AN26" s="53">
        <f t="shared" ref="AN26:AO26" si="43">AN9/AB9-1</f>
        <v>11.826568444761323</v>
      </c>
      <c r="AO26" s="53">
        <f t="shared" si="43"/>
        <v>-0.48175452206482272</v>
      </c>
      <c r="AP26" s="53">
        <f t="shared" ref="AP26" si="44">AP9/AD9-1</f>
        <v>-0.92353640751882127</v>
      </c>
      <c r="AQ26" s="53">
        <f t="shared" ref="AQ26" si="45">AQ9/AE9-1</f>
        <v>49.181781039134485</v>
      </c>
      <c r="AR26" s="53">
        <f t="shared" ref="AR26" si="46">AR9/AF9-1</f>
        <v>4.8065090781444617</v>
      </c>
      <c r="AS26" s="53">
        <f t="shared" ref="AS26" si="47">AS9/AG9-1</f>
        <v>0.39792431470200085</v>
      </c>
      <c r="AT26" s="53">
        <f t="shared" ref="AT26" si="48">AT9/AH9-1</f>
        <v>-0.12961103492270831</v>
      </c>
      <c r="AU26" s="53">
        <f t="shared" ref="AU26" si="49">AU9/AI9-1</f>
        <v>-0.24280315203616276</v>
      </c>
      <c r="AV26" s="53">
        <f t="shared" ref="AV26" si="50">AV9/AJ9-1</f>
        <v>-0.37450108122902537</v>
      </c>
      <c r="AW26" s="53">
        <f t="shared" ref="AW26" si="51">AW9/AK9-1</f>
        <v>-0.53479806999151647</v>
      </c>
      <c r="AX26" s="53">
        <f t="shared" ref="AX26" si="52">AX9/AL9-1</f>
        <v>-0.34436416201784803</v>
      </c>
      <c r="AY26" s="53">
        <f t="shared" ref="AY26" si="53">AY9/AM9-1</f>
        <v>-1</v>
      </c>
      <c r="AZ26" s="53">
        <f t="shared" ref="AZ26" si="54">AZ9/AN9-1</f>
        <v>-1</v>
      </c>
      <c r="BA26" s="53">
        <f t="shared" ref="BA26" si="55">BA9/AO9-1</f>
        <v>-1</v>
      </c>
      <c r="BB26" s="53">
        <f t="shared" ref="BB26" si="56">BB9/AP9-1</f>
        <v>-1</v>
      </c>
      <c r="BC26" s="53">
        <f t="shared" ref="BC26:BI26" si="57">BC9/AQ9-1</f>
        <v>-1</v>
      </c>
      <c r="BD26" s="53">
        <f t="shared" si="57"/>
        <v>-1</v>
      </c>
      <c r="BE26" s="53">
        <f t="shared" si="57"/>
        <v>-1</v>
      </c>
      <c r="BF26" s="53">
        <f t="shared" si="57"/>
        <v>-1</v>
      </c>
      <c r="BG26" s="53">
        <f t="shared" si="57"/>
        <v>-1</v>
      </c>
      <c r="BH26" s="53">
        <f t="shared" si="57"/>
        <v>-1</v>
      </c>
      <c r="BI26" s="53">
        <f t="shared" si="57"/>
        <v>-1</v>
      </c>
      <c r="BJ26" s="53">
        <f>BJ9/AX9-1</f>
        <v>-1</v>
      </c>
      <c r="BK26" s="53"/>
      <c r="BL26" s="53"/>
      <c r="BM26" s="53"/>
      <c r="BN26" s="45"/>
      <c r="BO26" s="45"/>
      <c r="BP26" s="45"/>
      <c r="BQ26" s="45"/>
      <c r="BR26" s="45"/>
      <c r="BS26" s="37"/>
      <c r="BT26" s="37"/>
      <c r="BU26" s="37"/>
      <c r="BV26" s="37"/>
      <c r="BZ26" s="5"/>
    </row>
    <row r="27" spans="2:86" ht="19.5">
      <c r="B27" s="36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>
        <f t="shared" ref="O27:Z27" si="58">O19/C19-1</f>
        <v>0.3777550476421816</v>
      </c>
      <c r="P27" s="53">
        <f t="shared" si="58"/>
        <v>0.11795685370786035</v>
      </c>
      <c r="Q27" s="53">
        <f t="shared" si="58"/>
        <v>0.11351072011628927</v>
      </c>
      <c r="R27" s="53">
        <f t="shared" si="58"/>
        <v>-7.7872706873510444E-2</v>
      </c>
      <c r="S27" s="53">
        <f t="shared" si="58"/>
        <v>-3.7609772419781362E-2</v>
      </c>
      <c r="T27" s="53">
        <f t="shared" si="58"/>
        <v>-7.5834995932845928E-2</v>
      </c>
      <c r="U27" s="53">
        <f t="shared" si="58"/>
        <v>-0.1042288823994254</v>
      </c>
      <c r="V27" s="53">
        <f t="shared" si="58"/>
        <v>-9.9974505669108926E-2</v>
      </c>
      <c r="W27" s="53">
        <f t="shared" si="58"/>
        <v>-0.12343352796219176</v>
      </c>
      <c r="X27" s="53">
        <f t="shared" si="58"/>
        <v>1.4719090238555887E-2</v>
      </c>
      <c r="Y27" s="53">
        <f t="shared" si="58"/>
        <v>-4.7013370227126816E-2</v>
      </c>
      <c r="Z27" s="53">
        <f t="shared" si="58"/>
        <v>-5.8045661097575585E-2</v>
      </c>
      <c r="AA27" s="53">
        <f t="shared" ref="AA27:AL27" si="59">AA19/O19-1</f>
        <v>-1.8490321243275432E-2</v>
      </c>
      <c r="AB27" s="53">
        <f t="shared" si="59"/>
        <v>-6.6252835143846278E-2</v>
      </c>
      <c r="AC27" s="53">
        <f t="shared" si="59"/>
        <v>-1.6431105484206454E-2</v>
      </c>
      <c r="AD27" s="53">
        <f t="shared" si="59"/>
        <v>-4.8983190955845801E-2</v>
      </c>
      <c r="AE27" s="53">
        <f t="shared" si="59"/>
        <v>-0.17927407919919014</v>
      </c>
      <c r="AF27" s="53">
        <f t="shared" si="59"/>
        <v>-0.20418766441235481</v>
      </c>
      <c r="AG27" s="53">
        <f t="shared" si="59"/>
        <v>7.6187029914980275E-2</v>
      </c>
      <c r="AH27" s="53">
        <f t="shared" si="59"/>
        <v>-0.19673027146226874</v>
      </c>
      <c r="AI27" s="53">
        <f t="shared" si="59"/>
        <v>-8.9080984932598195E-2</v>
      </c>
      <c r="AJ27" s="53">
        <f t="shared" si="59"/>
        <v>-0.12630479877752299</v>
      </c>
      <c r="AK27" s="53">
        <f t="shared" si="59"/>
        <v>-0.15947138535479843</v>
      </c>
      <c r="AL27" s="53">
        <f t="shared" si="59"/>
        <v>6.2525831700900092E-2</v>
      </c>
      <c r="AM27" s="53">
        <f t="shared" ref="AM27" si="60">AM19/AA19-1</f>
        <v>-2.0780938179890573E-2</v>
      </c>
      <c r="AN27" s="53">
        <f t="shared" ref="AN27:AO27" si="61">AN19/AB19-1</f>
        <v>3.1896092424991807E-2</v>
      </c>
      <c r="AO27" s="53">
        <f t="shared" si="61"/>
        <v>-4.2801079952408783E-2</v>
      </c>
      <c r="AP27" s="53">
        <f t="shared" ref="AP27" si="62">AP19/AD19-1</f>
        <v>7.5407479524080223E-2</v>
      </c>
      <c r="AQ27" s="53">
        <f t="shared" ref="AQ27" si="63">AQ19/AE19-1</f>
        <v>8.8873189843813982E-2</v>
      </c>
      <c r="AR27" s="53">
        <f t="shared" ref="AR27" si="64">AR19/AF19-1</f>
        <v>9.5646968291647427E-2</v>
      </c>
      <c r="AS27" s="53">
        <f t="shared" ref="AS27" si="65">AS19/AG19-1</f>
        <v>-0.28353914965370841</v>
      </c>
      <c r="AT27" s="53">
        <f t="shared" ref="AT27" si="66">AT19/AH19-1</f>
        <v>-3.428014467782392E-2</v>
      </c>
      <c r="AU27" s="53">
        <f t="shared" ref="AU27" si="67">AU19/AI19-1</f>
        <v>2.420197310826766E-2</v>
      </c>
      <c r="AV27" s="53">
        <f t="shared" ref="AV27" si="68">AV19/AJ19-1</f>
        <v>2.3637346923754965E-2</v>
      </c>
      <c r="AW27" s="53">
        <f>AW19/AK19-1</f>
        <v>9.6689327923209056E-2</v>
      </c>
      <c r="AX27" s="53">
        <f t="shared" ref="AX27" si="69">AX19/AL19-1</f>
        <v>8.3085809846044301E-2</v>
      </c>
      <c r="AY27" s="53">
        <f t="shared" ref="AY27" si="70">AY19/AM19-1</f>
        <v>0.35513219819843056</v>
      </c>
      <c r="AZ27" s="53">
        <f t="shared" ref="AZ27" si="71">AZ19/AN19-1</f>
        <v>0.25691015839232856</v>
      </c>
      <c r="BA27" s="53">
        <f t="shared" ref="BA27" si="72">BA19/AO19-1</f>
        <v>0.50571128264602505</v>
      </c>
      <c r="BB27" s="53">
        <f t="shared" ref="BB27" si="73">BB19/AP19-1</f>
        <v>0.39716035286919582</v>
      </c>
      <c r="BC27" s="53">
        <f t="shared" ref="BC27:CH27" si="74">BC19/AQ19-1</f>
        <v>0.40925124284279013</v>
      </c>
      <c r="BD27" s="53">
        <f t="shared" si="74"/>
        <v>0.30288632789526115</v>
      </c>
      <c r="BE27" s="53">
        <f t="shared" si="74"/>
        <v>0.58960854570096544</v>
      </c>
      <c r="BF27" s="53">
        <f t="shared" si="74"/>
        <v>0.91994121469830481</v>
      </c>
      <c r="BG27" s="53">
        <f t="shared" si="74"/>
        <v>0.52122542899743673</v>
      </c>
      <c r="BH27" s="53">
        <f t="shared" si="74"/>
        <v>0.14310906585982841</v>
      </c>
      <c r="BI27" s="53">
        <f t="shared" si="74"/>
        <v>0.15678637126449013</v>
      </c>
      <c r="BJ27" s="53">
        <f t="shared" si="74"/>
        <v>0.1628630051793305</v>
      </c>
      <c r="BK27" s="53">
        <f t="shared" si="74"/>
        <v>-4.7542515435595512E-2</v>
      </c>
      <c r="BL27" s="53">
        <f t="shared" si="74"/>
        <v>0.10895400502506258</v>
      </c>
      <c r="BM27" s="53">
        <f t="shared" si="74"/>
        <v>-0.21886473174398058</v>
      </c>
      <c r="BN27" s="53">
        <f t="shared" si="74"/>
        <v>0.17106277761654032</v>
      </c>
      <c r="BO27" s="53">
        <f t="shared" si="74"/>
        <v>0.13082513171590837</v>
      </c>
      <c r="BP27" s="53">
        <f t="shared" si="74"/>
        <v>0.23885851165515137</v>
      </c>
      <c r="BQ27" s="53">
        <f t="shared" si="74"/>
        <v>0.17874058479194721</v>
      </c>
      <c r="BR27" s="53">
        <f t="shared" si="74"/>
        <v>-1.1124470670554887E-3</v>
      </c>
      <c r="BS27" s="53">
        <f t="shared" si="74"/>
        <v>2.8161829979175268E-2</v>
      </c>
      <c r="BT27" s="53">
        <f t="shared" si="74"/>
        <v>6.94913875398393E-2</v>
      </c>
      <c r="BU27" s="53">
        <f t="shared" si="74"/>
        <v>0.13763475909763323</v>
      </c>
      <c r="BV27" s="53">
        <f t="shared" si="74"/>
        <v>-7.9120306772641147E-2</v>
      </c>
      <c r="BW27" s="53">
        <f t="shared" si="74"/>
        <v>-0.13721099251204538</v>
      </c>
      <c r="BX27" s="72">
        <f t="shared" si="74"/>
        <v>-2.3961293231948289E-2</v>
      </c>
      <c r="BY27" s="72">
        <f t="shared" si="74"/>
        <v>1.8443434190020591E-2</v>
      </c>
      <c r="BZ27" s="72">
        <f t="shared" si="74"/>
        <v>-0.29746713907660205</v>
      </c>
      <c r="CA27" s="72">
        <f t="shared" si="74"/>
        <v>-0.14671037821275801</v>
      </c>
      <c r="CB27" s="72">
        <f t="shared" si="74"/>
        <v>2.3873178064842238E-2</v>
      </c>
      <c r="CC27" s="72">
        <f t="shared" si="74"/>
        <v>-6.9441650978342317E-2</v>
      </c>
      <c r="CD27" s="72">
        <f t="shared" si="74"/>
        <v>-0.13162105617630893</v>
      </c>
      <c r="CE27" s="72">
        <f t="shared" si="74"/>
        <v>1.6489203120356288E-2</v>
      </c>
      <c r="CF27" s="72">
        <f t="shared" si="74"/>
        <v>-3.2624437453024568E-2</v>
      </c>
      <c r="CG27" s="72">
        <f t="shared" si="74"/>
        <v>-0.11531521040472226</v>
      </c>
      <c r="CH27" s="72">
        <f t="shared" si="74"/>
        <v>-6.9715028893630571E-2</v>
      </c>
    </row>
    <row r="28" spans="2:86" ht="15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86" ht="15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86" ht="15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86" ht="15.75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86" ht="15.75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 ht="15.75">
      <c r="AA33" s="1"/>
      <c r="AB33" s="9"/>
      <c r="AC33" s="9"/>
      <c r="AD33" s="9"/>
      <c r="AE33" s="9"/>
      <c r="AF33" s="9"/>
      <c r="AG33" s="9"/>
      <c r="AH33" s="9"/>
      <c r="BJ33" s="32"/>
    </row>
    <row r="34" spans="27:80" ht="17.25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 ht="15.75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 ht="18.75">
      <c r="BJ40" s="32"/>
    </row>
    <row r="41" spans="27:80" ht="18.75">
      <c r="BJ41" s="32"/>
    </row>
    <row r="42" spans="27:80" ht="18.75">
      <c r="BJ42" s="32"/>
    </row>
    <row r="43" spans="27:80" ht="18.75">
      <c r="BJ43" s="32"/>
    </row>
    <row r="44" spans="27:80" ht="18.75">
      <c r="BJ44" s="32"/>
    </row>
    <row r="45" spans="27:80" ht="18.75">
      <c r="BJ45" s="32"/>
    </row>
    <row r="46" spans="27:80" ht="18.75">
      <c r="BJ46" s="32"/>
    </row>
    <row r="47" spans="27:80" ht="18.75">
      <c r="BJ47" s="32"/>
    </row>
    <row r="48" spans="27:80" ht="18.75">
      <c r="BJ48" s="32"/>
    </row>
    <row r="49" spans="62:62" ht="18.75">
      <c r="BJ49" s="32"/>
    </row>
    <row r="50" spans="62:62" ht="18.75">
      <c r="BJ50" s="32"/>
    </row>
    <row r="51" spans="62:62" ht="18.75">
      <c r="BJ51" s="32"/>
    </row>
    <row r="52" spans="62:62" ht="18.75">
      <c r="BJ52" s="32"/>
    </row>
    <row r="53" spans="62:62" ht="18.75">
      <c r="BJ53" s="32"/>
    </row>
    <row r="54" spans="62:62" ht="18.75">
      <c r="BJ54" s="32"/>
    </row>
    <row r="55" spans="62:62" ht="18.75">
      <c r="BJ55" s="32"/>
    </row>
    <row r="56" spans="62:62" ht="18.75">
      <c r="BJ56" s="32"/>
    </row>
    <row r="57" spans="62:62" ht="18.75">
      <c r="BJ57" s="32"/>
    </row>
    <row r="58" spans="62:62" ht="18.75">
      <c r="BJ58" s="32"/>
    </row>
    <row r="59" spans="62:62" ht="18.75">
      <c r="BJ59" s="32"/>
    </row>
    <row r="60" spans="62:62" ht="18.75">
      <c r="BJ60" s="32"/>
    </row>
    <row r="61" spans="62:62" ht="18.75">
      <c r="BJ61" s="32"/>
    </row>
    <row r="62" spans="62:62" ht="18.75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H25 BS27:CH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AA2" activePane="bottomRight" state="frozen"/>
      <selection pane="topRight" activeCell="C1" sqref="C1"/>
      <selection pane="bottomLeft" activeCell="A2" sqref="A2"/>
      <selection pane="bottomRight" activeCell="AN26" sqref="AN26"/>
    </sheetView>
  </sheetViews>
  <sheetFormatPr defaultRowHeight="15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2.85546875" customWidth="1"/>
    <col min="18" max="18" width="11.28515625" customWidth="1"/>
    <col min="19" max="19" width="12.7109375" customWidth="1"/>
    <col min="20" max="20" width="11.140625" customWidth="1"/>
    <col min="21" max="21" width="11" customWidth="1"/>
    <col min="22" max="22" width="11.5703125" customWidth="1"/>
    <col min="23" max="24" width="14.42578125" customWidth="1"/>
    <col min="25" max="25" width="11.7109375" customWidth="1"/>
    <col min="26" max="26" width="11.5703125" customWidth="1"/>
    <col min="27" max="27" width="11.42578125" customWidth="1"/>
    <col min="28" max="28" width="11.7109375" customWidth="1"/>
    <col min="29" max="29" width="12.85546875" customWidth="1"/>
    <col min="30" max="30" width="11.5703125" customWidth="1"/>
  </cols>
  <sheetData>
    <row r="1" spans="1:61" ht="19.5" thickBot="1">
      <c r="A1" s="6"/>
      <c r="B1" s="33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  <c r="AB1" s="30" t="s">
        <v>53</v>
      </c>
      <c r="AC1" s="30" t="s">
        <v>54</v>
      </c>
      <c r="AD1" s="30" t="s">
        <v>55</v>
      </c>
    </row>
    <row r="2" spans="1:61" ht="20.25" thickTop="1">
      <c r="B2" s="36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20">
        <f>SUM(Monthly!BZ2:CB2)</f>
        <v>2267596.9759999998</v>
      </c>
      <c r="AC2" s="20">
        <f>SUM(Monthly!CC2:CE2)</f>
        <v>2516688.2829999998</v>
      </c>
      <c r="AD2" s="20">
        <f>SUM(Monthly!CF2:CH2)</f>
        <v>3031345.429</v>
      </c>
    </row>
    <row r="3" spans="1:61" s="13" customFormat="1" ht="18.75">
      <c r="A3" s="11"/>
      <c r="B3" s="39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  <c r="AB3" s="57">
        <f>SUM(Monthly!BZ3:CB3)</f>
        <v>2267596.9759999998</v>
      </c>
      <c r="AC3" s="57">
        <f>SUM(Monthly!CC3:CE3)</f>
        <v>2516688.2829999998</v>
      </c>
      <c r="AD3" s="57">
        <f>SUM(Monthly!CF3:CH3)</f>
        <v>3031345.429</v>
      </c>
    </row>
    <row r="4" spans="1:61" ht="19.5">
      <c r="B4" s="36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20">
        <f>SUM(Monthly!BZ4:CB4)</f>
        <v>2047798.9670000002</v>
      </c>
      <c r="AC4" s="20">
        <f>SUM(Monthly!CC4:CE4)</f>
        <v>2516633.2429999998</v>
      </c>
      <c r="AD4" s="20">
        <f>SUM(Monthly!CF4:CH4)</f>
        <v>3030986.3140000002</v>
      </c>
    </row>
    <row r="5" spans="1:61" ht="19.5">
      <c r="B5" s="36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20">
        <f>SUM(Monthly!BZ5:CB5)</f>
        <v>0</v>
      </c>
      <c r="AC5" s="20">
        <f>SUM(Monthly!CC5:CE5)</f>
        <v>0</v>
      </c>
      <c r="AD5" s="20">
        <f>SUM(Monthly!CF5:CH5)</f>
        <v>0</v>
      </c>
    </row>
    <row r="6" spans="1:61" ht="19.5">
      <c r="B6" s="36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20">
        <f>SUM(Monthly!BZ6:CB6)</f>
        <v>0</v>
      </c>
      <c r="AC6" s="20">
        <f>SUM(Monthly!CC6:CE6)</f>
        <v>0</v>
      </c>
      <c r="AD6" s="20">
        <f>SUM(Monthly!CF6:CH6)</f>
        <v>0</v>
      </c>
    </row>
    <row r="7" spans="1:61" ht="19.5">
      <c r="B7" s="36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20">
        <f>SUM(Monthly!BZ7:CB7)</f>
        <v>171.15199999999999</v>
      </c>
      <c r="AC7" s="20">
        <f>SUM(Monthly!CC7:CE7)</f>
        <v>55.04</v>
      </c>
      <c r="AD7" s="20">
        <f>SUM(Monthly!CF7:CH7)</f>
        <v>359.11500000000001</v>
      </c>
    </row>
    <row r="8" spans="1:61" ht="19.5">
      <c r="B8" s="36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20">
        <f>SUM(Monthly!BZ8:CB8)</f>
        <v>219626.85699999999</v>
      </c>
      <c r="AC8" s="20">
        <f>SUM(Monthly!CC8:CE8)</f>
        <v>0</v>
      </c>
      <c r="AD8" s="20">
        <f>SUM(Monthly!CF8:CH8)</f>
        <v>0</v>
      </c>
    </row>
    <row r="9" spans="1:61" s="13" customFormat="1" ht="18.75">
      <c r="A9" s="11"/>
      <c r="B9" s="39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  <c r="AB9" s="22">
        <f>SUM(Monthly!BZ9:CB9)</f>
        <v>0</v>
      </c>
      <c r="AC9" s="22">
        <f>SUM(Monthly!CC9:CE9)</f>
        <v>0</v>
      </c>
      <c r="AD9" s="22">
        <f>SUM(Monthly!CF9:CH9)</f>
        <v>0</v>
      </c>
    </row>
    <row r="10" spans="1:61" ht="19.5">
      <c r="B10" s="36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20">
        <f>SUM(Monthly!BZ10:CB10)</f>
        <v>0</v>
      </c>
      <c r="AC10" s="20">
        <f>SUM(Monthly!CC10:CE10)</f>
        <v>0</v>
      </c>
      <c r="AD10" s="20">
        <f>SUM(Monthly!CF10:CH10)</f>
        <v>0</v>
      </c>
    </row>
    <row r="11" spans="1:61" ht="19.5">
      <c r="B11" s="36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20">
        <f>SUM(Monthly!BZ11:CB11)</f>
        <v>2251598.5644699996</v>
      </c>
      <c r="AC11" s="20">
        <f>SUM(Monthly!CC11:CE11)</f>
        <v>2521805.9230899997</v>
      </c>
      <c r="AD11" s="20">
        <f>SUM(Monthly!CF11:CH11)</f>
        <v>3022103.7758800001</v>
      </c>
    </row>
    <row r="12" spans="1:61" s="13" customFormat="1" ht="18.75">
      <c r="A12" s="11"/>
      <c r="B12" s="39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  <c r="AB12" s="21">
        <f>SUM(Monthly!BZ12:CB12)</f>
        <v>703741.01466999995</v>
      </c>
      <c r="AC12" s="21">
        <f>SUM(Monthly!CC12:CE12)</f>
        <v>432829.07442999998</v>
      </c>
      <c r="AD12" s="21">
        <f>SUM(Monthly!CF12:CH12)</f>
        <v>976708.53187999991</v>
      </c>
    </row>
    <row r="13" spans="1:61" ht="19.5">
      <c r="B13" s="36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20">
        <f>SUM(Monthly!BZ13:CB13)</f>
        <v>2395.51782</v>
      </c>
      <c r="AC13" s="20">
        <f>SUM(Monthly!CC13:CE13)</f>
        <v>2773.6384840000001</v>
      </c>
      <c r="AD13" s="20">
        <f>SUM(Monthly!CF13:CH13)</f>
        <v>7123.7268399999703</v>
      </c>
    </row>
    <row r="14" spans="1:61" ht="19.5">
      <c r="A14" s="18"/>
      <c r="B14" s="3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2">
        <f>SUM(Monthly!BZ14:CB14)</f>
        <v>1546185.3540000001</v>
      </c>
      <c r="AC14" s="22">
        <f>SUM(Monthly!CC14:CE14)</f>
        <v>2087880.534</v>
      </c>
      <c r="AD14" s="22">
        <f>SUM(Monthly!CF14:CH14)</f>
        <v>2045395.2439999999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9.5">
      <c r="B15" s="36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20">
        <f>SUM(Monthly!BZ15:CB15)</f>
        <v>62498.686000000002</v>
      </c>
      <c r="AC15" s="20">
        <f>SUM(Monthly!CC15:CE15)</f>
        <v>0</v>
      </c>
      <c r="AD15" s="20">
        <f>SUM(Monthly!CF15:CH15)</f>
        <v>0</v>
      </c>
    </row>
    <row r="16" spans="1:61" ht="19.5">
      <c r="B16" s="36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20">
        <f>SUM(Monthly!BZ16:CB16)</f>
        <v>1483686.6680000001</v>
      </c>
      <c r="AC16" s="20">
        <f>SUM(Monthly!CC16:CE16)</f>
        <v>2087880.534</v>
      </c>
      <c r="AD16" s="20">
        <f>SUM(Monthly!CF16:CH16)</f>
        <v>2045395.2439999999</v>
      </c>
    </row>
    <row r="17" spans="1:33" s="13" customFormat="1" ht="18.75">
      <c r="A17" s="11"/>
      <c r="B17" s="39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  <c r="AB17" s="21">
        <f>SUM(Monthly!BZ17:CB17)</f>
        <v>0</v>
      </c>
      <c r="AC17" s="21">
        <f>SUM(Monthly!CC17:CE17)</f>
        <v>0</v>
      </c>
      <c r="AD17" s="21">
        <f>SUM(Monthly!CF17:CH17)</f>
        <v>0</v>
      </c>
    </row>
    <row r="18" spans="1:33" ht="19.5">
      <c r="B18" s="36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20">
        <f>SUM(Monthly!BZ18:CB18)</f>
        <v>1672.1958</v>
      </c>
      <c r="AC18" s="20">
        <f>SUM(Monthly!CC18:CE18)</f>
        <v>1096.31466</v>
      </c>
      <c r="AD18" s="20">
        <f>SUM(Monthly!CF18:CH18)</f>
        <v>0</v>
      </c>
    </row>
    <row r="19" spans="1:33" s="14" customFormat="1" ht="17.25">
      <c r="A19" s="4"/>
      <c r="B19" s="36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7.25">
      <c r="A20" s="4"/>
      <c r="B20" s="36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7.25">
      <c r="A21" s="4"/>
      <c r="B21" s="36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7.25">
      <c r="A22" s="4"/>
      <c r="B22" s="3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7.25"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9.5">
      <c r="B24" s="36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D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3">
        <f t="shared" si="3"/>
        <v>-0.18351600175973082</v>
      </c>
      <c r="Z24" s="53">
        <f t="shared" si="3"/>
        <v>-0.26718183303488874</v>
      </c>
      <c r="AA24" s="53">
        <f t="shared" si="3"/>
        <v>-0.19722864261884721</v>
      </c>
      <c r="AB24" s="53">
        <f t="shared" si="3"/>
        <v>2.6071009979670823E-2</v>
      </c>
      <c r="AC24" s="53">
        <f t="shared" si="3"/>
        <v>0.61605007027384717</v>
      </c>
      <c r="AD24" s="53">
        <f>AD3/Z3-1</f>
        <v>1.1579820798241824E-2</v>
      </c>
    </row>
    <row r="25" spans="1:33" ht="19.5">
      <c r="B25" s="36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D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3">
        <f t="shared" si="7"/>
        <v>5.358894887630461E-2</v>
      </c>
      <c r="Z25" s="53">
        <f t="shared" si="7"/>
        <v>0.13111867232154228</v>
      </c>
      <c r="AA25" s="53">
        <f t="shared" si="7"/>
        <v>-0.1817241545423196</v>
      </c>
      <c r="AB25" s="53">
        <f t="shared" si="7"/>
        <v>-0.16804814475051599</v>
      </c>
      <c r="AC25" s="53">
        <f t="shared" si="7"/>
        <v>-0.33449202704476888</v>
      </c>
      <c r="AD25" s="53">
        <f t="shared" si="7"/>
        <v>-0.36797998739057747</v>
      </c>
    </row>
    <row r="26" spans="1:33" ht="17.25">
      <c r="B26" s="36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D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zoomScale="130" zoomScaleNormal="130" workbookViewId="0">
      <selection activeCell="B31" sqref="B31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4" customWidth="1"/>
    <col min="7" max="7" width="13.42578125" style="29" customWidth="1"/>
    <col min="8" max="8" width="16.140625" customWidth="1"/>
    <col min="9" max="9" width="14.140625" customWidth="1"/>
  </cols>
  <sheetData>
    <row r="1" spans="1:185" ht="19.5" thickBot="1">
      <c r="A1" s="6"/>
      <c r="B1" s="58" t="s">
        <v>28</v>
      </c>
      <c r="C1" s="34" t="s">
        <v>0</v>
      </c>
      <c r="D1" s="34" t="s">
        <v>1</v>
      </c>
      <c r="E1" s="34" t="s">
        <v>2</v>
      </c>
      <c r="F1" s="34" t="s">
        <v>44</v>
      </c>
      <c r="G1" s="34" t="s">
        <v>46</v>
      </c>
      <c r="H1" s="34" t="s">
        <v>51</v>
      </c>
      <c r="I1" s="34" t="s">
        <v>56</v>
      </c>
    </row>
    <row r="2" spans="1:185" ht="20.25" thickTop="1">
      <c r="B2" s="59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  <c r="I2" s="20">
        <f>SUM(Monthly!BW2:CH2)</f>
        <v>11514212.900999999</v>
      </c>
    </row>
    <row r="3" spans="1:185" s="13" customFormat="1" ht="18.75">
      <c r="A3" s="11"/>
      <c r="B3" s="60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  <c r="I3" s="21">
        <f>SUM(Monthly!BW3:CH3)</f>
        <v>11514212.900999999</v>
      </c>
    </row>
    <row r="4" spans="1:185" ht="19.5">
      <c r="B4" s="59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  <c r="I4" s="20">
        <f>SUM(Monthly!BW4:CH4)</f>
        <v>10512134.262</v>
      </c>
    </row>
    <row r="5" spans="1:185" ht="19.5">
      <c r="B5" s="59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  <c r="I5" s="20">
        <f>SUM(Monthly!BW5:CH5)</f>
        <v>400710.13399999996</v>
      </c>
    </row>
    <row r="6" spans="1:185" ht="19.5">
      <c r="B6" s="59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  <c r="I6" s="20">
        <f>SUM(Monthly!BW6:CH6)</f>
        <v>0</v>
      </c>
    </row>
    <row r="7" spans="1:185" ht="19.5">
      <c r="B7" s="59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  <c r="I7" s="20">
        <f>SUM(Monthly!BW7:CH7)</f>
        <v>1070.5540000000001</v>
      </c>
    </row>
    <row r="8" spans="1:185" ht="19.5">
      <c r="B8" s="59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  <c r="I8" s="20">
        <f>SUM(Monthly!BW8:CH8)</f>
        <v>600297.951</v>
      </c>
    </row>
    <row r="9" spans="1:185" s="13" customFormat="1" ht="18.75">
      <c r="A9" s="11"/>
      <c r="B9" s="60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  <c r="I9" s="21">
        <f>SUM(Monthly!BW9:CH9)</f>
        <v>0</v>
      </c>
    </row>
    <row r="10" spans="1:185" ht="19.5">
      <c r="B10" s="59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  <c r="I10" s="20">
        <f>SUM(Monthly!BW10:CH10)</f>
        <v>0</v>
      </c>
    </row>
    <row r="11" spans="1:185" ht="19.5">
      <c r="B11" s="59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  <c r="I11" s="20">
        <f>SUM(Monthly!BW11:CH11)</f>
        <v>11501462.002409998</v>
      </c>
    </row>
    <row r="12" spans="1:185" s="13" customFormat="1" ht="18.75">
      <c r="A12" s="11"/>
      <c r="B12" s="60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  <c r="I12" s="21">
        <f>SUM(Monthly!BW12:CH12)</f>
        <v>3776769.3323899992</v>
      </c>
    </row>
    <row r="13" spans="1:185" ht="19.5">
      <c r="B13" s="59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  <c r="I13" s="20">
        <f>SUM(Monthly!BW13:CH13)</f>
        <v>15576.097873999968</v>
      </c>
    </row>
    <row r="14" spans="1:185" ht="19.5">
      <c r="A14" s="18"/>
      <c r="B14" s="60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1">
        <f>SUM(Monthly!BW14:CH14)</f>
        <v>7721660.2349999985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9.5">
      <c r="B15" s="59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  <c r="I15" s="20">
        <f>SUM(Monthly!BW15:CH15)</f>
        <v>324899.96100000001</v>
      </c>
    </row>
    <row r="16" spans="1:185" ht="19.5">
      <c r="B16" s="59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  <c r="I16" s="20">
        <f>SUM(Monthly!BW16:CH16)</f>
        <v>7396760.2739999993</v>
      </c>
    </row>
    <row r="17" spans="1:9" s="13" customFormat="1" ht="18.75">
      <c r="A17" s="11"/>
      <c r="B17" s="60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  <c r="I17" s="21">
        <f>SUM(Monthly!BW17:CH17)</f>
        <v>0</v>
      </c>
    </row>
    <row r="18" spans="1:9" ht="19.5">
      <c r="B18" s="59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  <c r="I18" s="20">
        <f>SUM(Monthly!BW18:CH18)</f>
        <v>3032.4350199999999</v>
      </c>
    </row>
    <row r="19" spans="1:9" ht="19.5">
      <c r="B19" s="59" t="s">
        <v>29</v>
      </c>
      <c r="C19" s="10"/>
      <c r="D19" s="10"/>
      <c r="E19" s="10"/>
      <c r="F19" s="10"/>
      <c r="G19" s="10"/>
      <c r="H19" s="10"/>
      <c r="I19" s="10"/>
    </row>
    <row r="20" spans="1:9" ht="19.5">
      <c r="B20" s="59" t="s">
        <v>27</v>
      </c>
      <c r="C20" s="10"/>
      <c r="D20" s="10"/>
      <c r="E20" s="10"/>
      <c r="F20" s="10"/>
      <c r="G20" s="10"/>
      <c r="H20" s="10"/>
      <c r="I20" s="10"/>
    </row>
    <row r="21" spans="1:9" ht="19.5">
      <c r="B21" s="59" t="s">
        <v>32</v>
      </c>
      <c r="C21" s="10"/>
      <c r="D21" s="10"/>
      <c r="E21" s="10"/>
      <c r="F21" s="10"/>
      <c r="G21" s="10"/>
      <c r="H21" s="10"/>
      <c r="I21" s="10"/>
    </row>
    <row r="22" spans="1:9" ht="19.5">
      <c r="B22" s="59" t="s">
        <v>33</v>
      </c>
      <c r="C22" s="10"/>
      <c r="D22" s="10"/>
      <c r="E22" s="10"/>
      <c r="F22" s="10"/>
      <c r="G22" s="10"/>
      <c r="H22" s="10"/>
      <c r="I22" s="10"/>
    </row>
    <row r="23" spans="1:9" ht="17.25">
      <c r="B23" s="59"/>
      <c r="C23" s="1"/>
      <c r="D23" s="1"/>
      <c r="E23" s="1"/>
      <c r="F23" s="25"/>
    </row>
    <row r="24" spans="1:9" ht="19.5">
      <c r="B24" s="59" t="s">
        <v>30</v>
      </c>
      <c r="C24" s="10"/>
      <c r="D24" s="53">
        <f>D3/C3-1</f>
        <v>-5.3476700335342353E-2</v>
      </c>
      <c r="E24" s="53">
        <f>E3/D3-1</f>
        <v>1.3809067145371667E-3</v>
      </c>
      <c r="F24" s="53">
        <f>F3/E3-1</f>
        <v>-8.2559199142083206E-2</v>
      </c>
      <c r="G24" s="53">
        <f>G3/F3-1</f>
        <v>1.6990436072192989</v>
      </c>
      <c r="H24" s="53">
        <f>H3/G3-1</f>
        <v>-0.12380415925918231</v>
      </c>
      <c r="I24" s="53">
        <f>I3/H3-1</f>
        <v>1.2576673810563044E-2</v>
      </c>
    </row>
    <row r="25" spans="1:9" ht="19.5">
      <c r="B25" s="59" t="s">
        <v>31</v>
      </c>
      <c r="C25" s="10"/>
      <c r="D25" s="53">
        <f>D12/C12-1</f>
        <v>-5.0526330237238737E-2</v>
      </c>
      <c r="E25" s="53">
        <f>E12/D12-1</f>
        <v>-4.9194071519342852E-4</v>
      </c>
      <c r="F25" s="53">
        <f>F12/E12-1</f>
        <v>-8.4959129094200891E-2</v>
      </c>
      <c r="G25" s="53">
        <f>G12/F12-1</f>
        <v>-6.1403230264829856E-2</v>
      </c>
      <c r="H25" s="53">
        <f>H12/G12-1</f>
        <v>0.13268190496323462</v>
      </c>
      <c r="I25" s="53">
        <f>I12/H12-1</f>
        <v>-0.25574493328327697</v>
      </c>
    </row>
    <row r="26" spans="1:9" ht="17.25">
      <c r="B26" s="59" t="s">
        <v>21</v>
      </c>
      <c r="C26" s="10"/>
      <c r="D26" s="53">
        <f>D9/C9-1</f>
        <v>-0.31450539177217418</v>
      </c>
      <c r="E26" s="53">
        <f>E9/D9-1</f>
        <v>0.16730283129167756</v>
      </c>
      <c r="F26" s="53">
        <f>F9/E9-1</f>
        <v>0.26564240935398087</v>
      </c>
      <c r="G26" s="53"/>
      <c r="H26" s="53"/>
    </row>
  </sheetData>
  <phoneticPr fontId="96" type="noConversion"/>
  <conditionalFormatting sqref="C23:F23 D24:H26 I24:I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I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2023-01-13T11:54:10Z</dcterms:modified>
</cp:coreProperties>
</file>